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Z1" sheetId="1" r:id="rId1"/>
    <sheet name="Z 1a" sheetId="2" r:id="rId2"/>
    <sheet name="Z 2" sheetId="3" r:id="rId3"/>
    <sheet name="Z 3" sheetId="4" r:id="rId4"/>
    <sheet name="Z 4" sheetId="5" r:id="rId5"/>
    <sheet name="Z 5" sheetId="6" r:id="rId6"/>
    <sheet name="z6" sheetId="7" r:id="rId7"/>
    <sheet name="z 7" sheetId="8" r:id="rId8"/>
    <sheet name="z 8" sheetId="9" r:id="rId9"/>
    <sheet name="z 9 " sheetId="10" r:id="rId10"/>
    <sheet name="z 9a" sheetId="11" r:id="rId11"/>
    <sheet name="z 10" sheetId="12" r:id="rId12"/>
    <sheet name="z 11" sheetId="13" r:id="rId13"/>
    <sheet name="z 12" sheetId="14" r:id="rId14"/>
    <sheet name="z13" sheetId="15" r:id="rId15"/>
    <sheet name="z 14" sheetId="16" r:id="rId16"/>
    <sheet name="z15" sheetId="17" r:id="rId17"/>
    <sheet name="Z16" sheetId="18" r:id="rId18"/>
  </sheets>
  <definedNames>
    <definedName name="_xlnm.Print_Area" localSheetId="1">'Z 1a'!$A$1:$Q$314</definedName>
    <definedName name="_xlnm.Print_Area" localSheetId="2">'Z 2'!$A$1:$O$558</definedName>
    <definedName name="_xlnm.Print_Area" localSheetId="16">'z15'!$A$1:$C$39</definedName>
  </definedNames>
  <calcPr fullCalcOnLoad="1"/>
</workbook>
</file>

<file path=xl/sharedStrings.xml><?xml version="1.0" encoding="utf-8"?>
<sst xmlns="http://schemas.openxmlformats.org/spreadsheetml/2006/main" count="2529" uniqueCount="864">
  <si>
    <t>Załącznik nr 5 do Uchwały Rady Powiatu w Olecku Nr V/41/03                                 z dnia 26 lutego 2003r</t>
  </si>
  <si>
    <t>Załącznik nr 6 do Uchwały Rady Powiatu w Olecku Nr V/41/03 z dnia 26 lutego 2003</t>
  </si>
  <si>
    <t>Załącznik Nr 7 do Uchwały Rady Powiatu w Olecku Nr V/41/03 z dnia 26 lutego 2003</t>
  </si>
  <si>
    <t xml:space="preserve">   5.400.000zł - jako źródło ewentualnej spłaty poręczenia kredytu dla SP ZOZ Olecko</t>
  </si>
  <si>
    <t>Załącznik Nr 8 do Uchwały Rady Powiatu w Olecku Nr V/41/03 z dnia 26 lutego 2003</t>
  </si>
  <si>
    <t>Załącznik Nr 9 do Uchwały Rady Powiatu w Olecku Nr V/41/03 z dnia 26 lutego 2003</t>
  </si>
  <si>
    <t>Załącznik Nr 9a do Uchwały Rady Powiatu w Olecku Nr V/41/03 z dnia 26 lutego 2003</t>
  </si>
  <si>
    <t>Załącznik Nr 10 Do Uchwały Rady Powiatu w Olecku Nr V/41/03 z dnia 26 lutego 2003</t>
  </si>
  <si>
    <t>Załącznik nr 11 do Uchwały Rady Powiatu w Olecku Nr V/41/03 z dnia 26 lutego 2003r.</t>
  </si>
  <si>
    <t>Załącznik nr 12 do Uchwały Rady Powiatu w Olecku Nr V/41/03 z dnia 26 lutego 2003</t>
  </si>
  <si>
    <t>Załącznik Nr 13 do Uchwały Rady Powiatu w Olecku Nr V/41/03 z dnia 26 lutego 2003r.</t>
  </si>
  <si>
    <t>Załacznik Nr 14 do Uchwały Rady Powiatu  w Olecku Nr V/41/03 z dnia 26 lutego 2003r.</t>
  </si>
  <si>
    <t>Załącznik nr 15 do Uchwały Rady Powiatu V/41/03                                                                                          z dnia 26 lutego 2003</t>
  </si>
  <si>
    <t>Załącznik Nr 16 do Uchwały Rady Powiatu Nr V/41/03 z dnia 26 lutego 2003r.</t>
  </si>
  <si>
    <t>Sporządził: Janina Słomkowska                             Przewodniczący Rady Powiatu: Wacław Sapieha</t>
  </si>
  <si>
    <t xml:space="preserve">Gospodarstwa pomocnicze ogółem,              w tym </t>
  </si>
  <si>
    <t>Gospod. Pomocnicze "w likwidacji" Zespołu Szkół Liceal. i Zawod.</t>
  </si>
  <si>
    <t xml:space="preserve"> Finansowanie zadania w całości w roku 2004 z udziałem środków z programu SAPARD </t>
  </si>
  <si>
    <t>UWAGA! W przypadku braku dofinansowania z pr.SAPARD inwestycje nie będą realizowane</t>
  </si>
  <si>
    <t xml:space="preserve"> Finansowanie zadania w całości w roku 2004 z udziałem środków z programu SAPARD.</t>
  </si>
  <si>
    <t>Sporządził: Janina Słomkowska                   Przewodniczący Rady Powiatu: Wacław Sapieha</t>
  </si>
  <si>
    <t>Sporządził: Janina Słomkowska                                Przewodniczący Rady Powiatu: Wacław Sapieha</t>
  </si>
  <si>
    <t xml:space="preserve">Sporządził: Janina Słomkowska                    Przewodniczący Rady Powiatu: Wacław Sapieha         </t>
  </si>
  <si>
    <t>2005r.</t>
  </si>
  <si>
    <t>Nakłady do poniesienia po roku 2005*</t>
  </si>
  <si>
    <t>DOT.CEL.OTRZYM. Z BUDŻ.PAŃSTWA NA  INWEST.REALIZ.NA PODST.POROZ.Z ORG.ADM.RZĄDOWEJ</t>
  </si>
  <si>
    <t>WYSZCZEGÓLNIENIE</t>
  </si>
  <si>
    <t>Sporządził: Janina Słomkowska</t>
  </si>
  <si>
    <t>Dział, rozdz.</t>
  </si>
  <si>
    <t>§</t>
  </si>
  <si>
    <t>wyszczególnienie nazwa działu,rozdz.</t>
  </si>
  <si>
    <t>przewid. wykon.w 2000</t>
  </si>
  <si>
    <t>Plan 2001</t>
  </si>
  <si>
    <t>Zwieksze -nia (+)</t>
  </si>
  <si>
    <t>zmniejsze-nia (-)</t>
  </si>
  <si>
    <t>plan 2002</t>
  </si>
  <si>
    <t>w tym</t>
  </si>
  <si>
    <t>zad.z zakresu admin.rząd.</t>
  </si>
  <si>
    <t>zadania własne</t>
  </si>
  <si>
    <t>porozum.i umowy</t>
  </si>
  <si>
    <t>010</t>
  </si>
  <si>
    <t>ROLNICTWO I ŁOWIECTWO</t>
  </si>
  <si>
    <t>01021</t>
  </si>
  <si>
    <t>Inspekcja Weterynaryjna</t>
  </si>
  <si>
    <t>3020</t>
  </si>
  <si>
    <t>Wyd. os.nie zalicz.do wynagr.</t>
  </si>
  <si>
    <t>3030</t>
  </si>
  <si>
    <t>Różne wydatki narzecz os.fiz.</t>
  </si>
  <si>
    <t>4010</t>
  </si>
  <si>
    <t>Wynagrodzenia osobowe pracowników</t>
  </si>
  <si>
    <t>4020</t>
  </si>
  <si>
    <t>Wynagr. osobowe członków korpusu służby cywilnej</t>
  </si>
  <si>
    <t>4040</t>
  </si>
  <si>
    <t>Dodatkowe wynagr.roczne</t>
  </si>
  <si>
    <t xml:space="preserve">4110  </t>
  </si>
  <si>
    <t>Składki na ubez.społecz.</t>
  </si>
  <si>
    <t>4120</t>
  </si>
  <si>
    <t>Składki na F.Pracy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</si>
  <si>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</si>
  <si>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</si>
  <si>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</si>
  <si>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</si>
  <si>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</si>
  <si>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</si>
  <si>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</si>
  <si>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</si>
  <si>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4410</t>
  </si>
  <si>
    <t>Podróże służbowe krajowe</t>
  </si>
  <si>
    <t>4430</t>
  </si>
  <si>
    <t>Różne opłaty i składki</t>
  </si>
  <si>
    <t>4440</t>
  </si>
  <si>
    <t>Odpis na ZFŚS</t>
  </si>
  <si>
    <t>01005</t>
  </si>
  <si>
    <t>Prace geodezyjno-urządzeniowe na potrzeby rolnictwa</t>
  </si>
  <si>
    <t>020</t>
  </si>
  <si>
    <t>LEŚNICTWO</t>
  </si>
  <si>
    <t>02002</t>
  </si>
  <si>
    <t>Nadzór nad gospodarką leśną</t>
  </si>
  <si>
    <t>600</t>
  </si>
  <si>
    <t>TRANSPORT I ŁĄCZNOŚĆ</t>
  </si>
  <si>
    <t>60014</t>
  </si>
  <si>
    <t>Drogi publicz.powiatowe</t>
  </si>
  <si>
    <t>4110</t>
  </si>
  <si>
    <t>Składki na ubez.społeczne</t>
  </si>
  <si>
    <t>nagrody i wyd.nie zal.do wynagr.</t>
  </si>
  <si>
    <t>zakup materiałów i wyposażenia</t>
  </si>
  <si>
    <t>4480</t>
  </si>
  <si>
    <t>Podatek od nieruchomości</t>
  </si>
  <si>
    <t>6050</t>
  </si>
  <si>
    <t>Inwestycje</t>
  </si>
  <si>
    <t>Wyd. inwest.jed.budż.</t>
  </si>
  <si>
    <t>6060</t>
  </si>
  <si>
    <t>6610</t>
  </si>
  <si>
    <t>700</t>
  </si>
  <si>
    <t>GOSPODARKA MIESZKANIOWA ORAZ NIEMAT.USŁUGI KOMUNAL.</t>
  </si>
  <si>
    <t>70005</t>
  </si>
  <si>
    <t>Gospodarka gruntami i nieruchomościami</t>
  </si>
  <si>
    <t>wydatki rzeczowe</t>
  </si>
  <si>
    <t>710</t>
  </si>
  <si>
    <t>DZIAŁALNOŚĆ USŁUGOWA</t>
  </si>
  <si>
    <t>71013</t>
  </si>
  <si>
    <t>Prace geodezyjne i kartograficzne (nieinwestycyjne)</t>
  </si>
  <si>
    <t>71014</t>
  </si>
  <si>
    <t>Opracowania geodezyjne i kartograficzne</t>
  </si>
  <si>
    <t>71015</t>
  </si>
  <si>
    <t>Nadzór budowlany</t>
  </si>
  <si>
    <t xml:space="preserve">4110 </t>
  </si>
  <si>
    <t>750</t>
  </si>
  <si>
    <t>ADMINISTRACJA PUBLICZNA</t>
  </si>
  <si>
    <t>75011</t>
  </si>
  <si>
    <t>Urzędy wojewódzkie</t>
  </si>
  <si>
    <t>Składki na ubezp. Społeczne</t>
  </si>
  <si>
    <t>2310</t>
  </si>
  <si>
    <t>Dotacje przekazane gminie</t>
  </si>
  <si>
    <t>75019</t>
  </si>
  <si>
    <t>Rady powiatów</t>
  </si>
  <si>
    <t>Różne wydatki na rzecz os.fiz.</t>
  </si>
  <si>
    <t>75020</t>
  </si>
  <si>
    <t>Starostwa powiatowe</t>
  </si>
  <si>
    <t>Wydatki na zakupy inwestycyjne jednostek budżet.</t>
  </si>
  <si>
    <t>75045</t>
  </si>
  <si>
    <t>Komisje poborowe</t>
  </si>
  <si>
    <t>Składki na ubezp.społeczne</t>
  </si>
  <si>
    <t>75095</t>
  </si>
  <si>
    <t>Pozostała działalność</t>
  </si>
  <si>
    <t>754</t>
  </si>
  <si>
    <t>BEZPIECZEŃSTWO PUBLICZNE I OCHRONA PRZECIWPOŻAROWA</t>
  </si>
  <si>
    <t>75405</t>
  </si>
  <si>
    <t>Komendy Powiatowe Policji</t>
  </si>
  <si>
    <t>Wyn.osobowe korpusu służby cywilnej</t>
  </si>
  <si>
    <t>4050</t>
  </si>
  <si>
    <t xml:space="preserve">Uposaż.żołnierzy zawodowych   i nadterminow. oraz funkcjonar. </t>
  </si>
  <si>
    <t>4060</t>
  </si>
  <si>
    <t>Pozostałe należności funkcjon.</t>
  </si>
  <si>
    <t>4070</t>
  </si>
  <si>
    <t>Nagrody roczne funkcjonariuszy</t>
  </si>
  <si>
    <t>4080</t>
  </si>
  <si>
    <t xml:space="preserve">Uposaż.żołnierzy zawodowych   i nadterminow. oraz funkcjonar. zwolnion. ze służby </t>
  </si>
  <si>
    <t>4220</t>
  </si>
  <si>
    <t>Zakup środków żywności</t>
  </si>
  <si>
    <t>4250</t>
  </si>
  <si>
    <t>Zakup sprzętu i uzbrojenia</t>
  </si>
  <si>
    <t>Zakup energii</t>
  </si>
  <si>
    <t>Zakup usług remontowych</t>
  </si>
  <si>
    <t>Zakup usług pozostałych</t>
  </si>
  <si>
    <t>75411</t>
  </si>
  <si>
    <t>Komendy Powiatowe Państ. Straży Pożarnej</t>
  </si>
  <si>
    <t>Rózne opłaty i składki</t>
  </si>
  <si>
    <t>4520</t>
  </si>
  <si>
    <t>Opłaty na rzecz jst.</t>
  </si>
  <si>
    <t>757</t>
  </si>
  <si>
    <t>OBSŁUGA DŁUGU PUBLICZNEGO</t>
  </si>
  <si>
    <t>75702</t>
  </si>
  <si>
    <t>Obsługa papierów wart., kredytów i pożyczek j.s.t.</t>
  </si>
  <si>
    <t>8070</t>
  </si>
  <si>
    <t>75704</t>
  </si>
  <si>
    <t>8020</t>
  </si>
  <si>
    <t>8040</t>
  </si>
  <si>
    <t>wypł. z tyt. pozostałych poręcz. i gwarancji</t>
  </si>
  <si>
    <t>758</t>
  </si>
  <si>
    <t>RÓŻNE ROZLICZENIA</t>
  </si>
  <si>
    <t>75818</t>
  </si>
  <si>
    <t>Rezerwy ogólne i celowe</t>
  </si>
  <si>
    <t>4810</t>
  </si>
  <si>
    <t>Rezerwa ogólna</t>
  </si>
  <si>
    <t>Rezerwa celowa oświatowa</t>
  </si>
  <si>
    <t>6800</t>
  </si>
  <si>
    <t>Rezerwy na inwest.i zak. inwest.</t>
  </si>
  <si>
    <t>801</t>
  </si>
  <si>
    <t>OŚWIATA I WYCHOWANIE</t>
  </si>
  <si>
    <t>80102</t>
  </si>
  <si>
    <t>Szkoły podstawowe specjalne</t>
  </si>
  <si>
    <t>Zakup mater. i wyposażenia</t>
  </si>
  <si>
    <t>4240</t>
  </si>
  <si>
    <t>zakup pomocy dydakt.i książek</t>
  </si>
  <si>
    <t>Wydatki rzeczowe</t>
  </si>
  <si>
    <t>2540</t>
  </si>
  <si>
    <t>Dot.podmiot z budż. dla szkół niepub. (Niep.Spec.Ośr.Szk.-Wych. Przy Stow. "Dać Nadzieję")</t>
  </si>
  <si>
    <t>80111</t>
  </si>
  <si>
    <t>Gimnazja specjalne</t>
  </si>
  <si>
    <t>zakup materiałów i wyposaż.</t>
  </si>
  <si>
    <t>80120</t>
  </si>
  <si>
    <t>Licea Ogólnokształcące</t>
  </si>
  <si>
    <t>Nagr.i wyd.nie zal.do wynagr.</t>
  </si>
  <si>
    <t>4140</t>
  </si>
  <si>
    <t>wpłaty na PFRON</t>
  </si>
  <si>
    <t xml:space="preserve">dot. podmiot. z budż. dla szkół niepublicznych:  </t>
  </si>
  <si>
    <t>ZDZ Białystok</t>
  </si>
  <si>
    <t>L.Olszewski Olecko</t>
  </si>
  <si>
    <t>Cent.eduk.Rozw.Zaw.Olecko</t>
  </si>
  <si>
    <t>wydatki inwest. jednost. budżet.</t>
  </si>
  <si>
    <t>80130</t>
  </si>
  <si>
    <t>Szkoły zawodowe</t>
  </si>
  <si>
    <t>Nagr.i wydat.nie zalicz.do wynagr.</t>
  </si>
  <si>
    <t>Składki PFRON</t>
  </si>
  <si>
    <t xml:space="preserve">Dot.podmiot z budż. dla szkół niepub.  </t>
  </si>
  <si>
    <t>80131</t>
  </si>
  <si>
    <t>Licea i technika zawodowe</t>
  </si>
  <si>
    <t>zakup pom.dydakt.i książek</t>
  </si>
  <si>
    <t>podróże służbowe krajowe</t>
  </si>
  <si>
    <t>różne opłaty i składki</t>
  </si>
  <si>
    <t>odpisy na ZFŚS</t>
  </si>
  <si>
    <t xml:space="preserve">dot. podmiot. z budż. dla szkół niepublicznych   </t>
  </si>
  <si>
    <t>6430</t>
  </si>
  <si>
    <t>Dot.cel.przek.z budż.pań.na real.inwest.i zak.inwest.włas.powiatu</t>
  </si>
  <si>
    <t>80133</t>
  </si>
  <si>
    <t>Szkoły pomaturalne i policealne</t>
  </si>
  <si>
    <t xml:space="preserve">Dot. podmiot. z budż. dla szkół niepublicznych, w tym:  </t>
  </si>
  <si>
    <t>Centr.Szkol."Omega"</t>
  </si>
  <si>
    <t>80134</t>
  </si>
  <si>
    <t>Szkoły zawodowe specjalne</t>
  </si>
  <si>
    <t>80142</t>
  </si>
  <si>
    <t>Ośrodki szkolenia, dokształcania i doskonalenia kadr</t>
  </si>
  <si>
    <t>2320</t>
  </si>
  <si>
    <t>Dotacje celowe otrzym. z  powiatu na zad. bież. realiz. na podst. poroz. z jst.</t>
  </si>
  <si>
    <t>80145</t>
  </si>
  <si>
    <t>Komisje egzaminacyjne</t>
  </si>
  <si>
    <t>Różne wyd. na rzecz osób fiz.</t>
  </si>
  <si>
    <t>80146</t>
  </si>
  <si>
    <t>Placówki dokształcania i doskonalenia nauczycieli</t>
  </si>
  <si>
    <t>80195</t>
  </si>
  <si>
    <t>851</t>
  </si>
  <si>
    <t>OCHRONA ZDROWIA</t>
  </si>
  <si>
    <t>85111</t>
  </si>
  <si>
    <t>Szpitale ogólne</t>
  </si>
  <si>
    <t>2560</t>
  </si>
  <si>
    <t>dotacja podmiot. z budż. dla SP ZOZ</t>
  </si>
  <si>
    <t>dotacja podmiot. z budż. dla         SP ZOZ</t>
  </si>
  <si>
    <t>6220</t>
  </si>
  <si>
    <t>dot. cel. z budż. na finans. lub dofin. koszt. realiz. inwest. i zak. inwest. innych jed. sekt. fin.publ.</t>
  </si>
  <si>
    <t>85117</t>
  </si>
  <si>
    <t>Zakł. opiek - lecznicze i pielęgnacyjno -opiekuncze</t>
  </si>
  <si>
    <t>85121</t>
  </si>
  <si>
    <t>Lecznictwo ambulatoryjne</t>
  </si>
  <si>
    <t>85132</t>
  </si>
  <si>
    <t>Inspekcja Sanitarna</t>
  </si>
  <si>
    <t>Nagr.i wydat.nie zal.do wynagr.</t>
  </si>
  <si>
    <t>rózne wydatki na rzecz os.fiz.</t>
  </si>
  <si>
    <t>85141</t>
  </si>
  <si>
    <t>Ratownictwo medyczne</t>
  </si>
  <si>
    <t>85156</t>
  </si>
  <si>
    <t>skł. na ubezp. zdrow.osób nie obj. obow.ubezp.zdrow.</t>
  </si>
  <si>
    <t>4130</t>
  </si>
  <si>
    <t>Składki na ubezp.zdrow.</t>
  </si>
  <si>
    <t>4600</t>
  </si>
  <si>
    <t>kary i odszkodowania wypł.na rzecz os.pr.i innych jedn.org.</t>
  </si>
  <si>
    <t>853</t>
  </si>
  <si>
    <t>OPIEKA SPOŁECZNA</t>
  </si>
  <si>
    <t>85301</t>
  </si>
  <si>
    <t>Plac. opiekuń - wychowaw.</t>
  </si>
  <si>
    <t>3110</t>
  </si>
  <si>
    <t>Świadczenia społeczne</t>
  </si>
  <si>
    <t>zakup środków żywności</t>
  </si>
  <si>
    <t>zakup pom.nauk.dydakt.książek</t>
  </si>
  <si>
    <t>2830</t>
  </si>
  <si>
    <t>Dot.cel.na zad.zlec.jedn.nie zal.do sektora fin.publ.</t>
  </si>
  <si>
    <t>85302</t>
  </si>
  <si>
    <t>Domy Pomocy Społecznej</t>
  </si>
  <si>
    <t>Nagr.i wydatki nie zal.do wynagrodzeń</t>
  </si>
  <si>
    <t>4230</t>
  </si>
  <si>
    <t>zakup leków i mater.medycz.</t>
  </si>
  <si>
    <t>85304</t>
  </si>
  <si>
    <t xml:space="preserve">Rodziny zastępcze </t>
  </si>
  <si>
    <t>85316</t>
  </si>
  <si>
    <t>zasiłki rodzinne, pielęg. i wych.</t>
  </si>
  <si>
    <t>85318</t>
  </si>
  <si>
    <t>Powiatowe Centrum Pomocy Rodzinie</t>
  </si>
  <si>
    <t>85321</t>
  </si>
  <si>
    <t>Zespoły do spraw orzek.o stopniu niepełnospr.</t>
  </si>
  <si>
    <t>dotacja cel.przek.na porozumienia</t>
  </si>
  <si>
    <t>dot.cel. przekazane dla powiatu na zad. bież. realiz. na podst. poroz. (umów) między j.s.t.</t>
  </si>
  <si>
    <t>85324</t>
  </si>
  <si>
    <t>Państwowy Fundusz Rehabilitacji Osób Niepełnosprawnych</t>
  </si>
  <si>
    <t>Składki na ubezp. społeczne</t>
  </si>
  <si>
    <t>85326</t>
  </si>
  <si>
    <t>Ośr. adopcyjno-opiekuńcze</t>
  </si>
  <si>
    <t>Składki na Fundusz Pracy</t>
  </si>
  <si>
    <t>85333</t>
  </si>
  <si>
    <t>Powiatowe Urzędy Pracy</t>
  </si>
  <si>
    <t>85395</t>
  </si>
  <si>
    <t>2820</t>
  </si>
  <si>
    <t>854</t>
  </si>
  <si>
    <t>EDUKACYJNA OPIEKA WYCHOWAWCZA</t>
  </si>
  <si>
    <t>85403</t>
  </si>
  <si>
    <t>Specjalne ośrodki szkolno - wychowawcze</t>
  </si>
  <si>
    <t>Wydatki na inwestycje</t>
  </si>
  <si>
    <t>4590</t>
  </si>
  <si>
    <t>Kary i odszkodowania</t>
  </si>
  <si>
    <t>85405</t>
  </si>
  <si>
    <t>Przedszkola specjalne</t>
  </si>
  <si>
    <t>85406</t>
  </si>
  <si>
    <t>Poradnie Psychol- Pedagog.</t>
  </si>
  <si>
    <t>85410</t>
  </si>
  <si>
    <t>Internaty i bursy szkolne</t>
  </si>
  <si>
    <t>Wyd.na zakupy inwest. jed.budż</t>
  </si>
  <si>
    <t>85412</t>
  </si>
  <si>
    <t>Kolonie i obozy oraz inne formy wypoczynu dzieci i młodzieży  szkolnej</t>
  </si>
  <si>
    <t>85415</t>
  </si>
  <si>
    <t>Pomoc material. dla uczniów</t>
  </si>
  <si>
    <t>Stypendia dla uczniów</t>
  </si>
  <si>
    <t>85417</t>
  </si>
  <si>
    <t>Szkolne schroniska młodz.</t>
  </si>
  <si>
    <t>dot. cel. przek.  na zad. bież real. na podst.por.między j.s.t.</t>
  </si>
  <si>
    <t xml:space="preserve">Składki na ubez.społ. </t>
  </si>
  <si>
    <t>różne wydatki na rzecz os.fiz.</t>
  </si>
  <si>
    <t>85495</t>
  </si>
  <si>
    <t>921</t>
  </si>
  <si>
    <t>KULTURA I OCHRONA DZIEDZICTWA NAROD.</t>
  </si>
  <si>
    <t>92116</t>
  </si>
  <si>
    <t>Biblioteki</t>
  </si>
  <si>
    <t>dot. cel. przek. gminie na zad. bież real. na podst.poroz.j.s.t.</t>
  </si>
  <si>
    <t>92195</t>
  </si>
  <si>
    <t>926</t>
  </si>
  <si>
    <t>KULTURA FIZYCZNA I SPORT</t>
  </si>
  <si>
    <t>92601</t>
  </si>
  <si>
    <t>Obiekty sportowe</t>
  </si>
  <si>
    <t>Wydatki inwest.jednost. budżet</t>
  </si>
  <si>
    <t>92695</t>
  </si>
  <si>
    <t>dotacje podmiot.nie zal.do sekt.fin.publ.(stowarzyszenia)</t>
  </si>
  <si>
    <t>Ogółem</t>
  </si>
  <si>
    <t>z tego:</t>
  </si>
  <si>
    <t>X</t>
  </si>
  <si>
    <t>a) wydatki bieżące, w tym:</t>
  </si>
  <si>
    <t xml:space="preserve">    wynagrodzenia</t>
  </si>
  <si>
    <t xml:space="preserve">    pochodne od wynagrodzeń</t>
  </si>
  <si>
    <t xml:space="preserve">    na obsł. długu j.s.t., poręcz. i gwar.</t>
  </si>
  <si>
    <t>b) wydatki majątkowe, w tym:</t>
  </si>
  <si>
    <t>Klasyfikacja</t>
  </si>
  <si>
    <t>Nazwa</t>
  </si>
  <si>
    <t>Dochody przyznane z tyt. dotacji na realizację zadań z zakresu adm. rządowej</t>
  </si>
  <si>
    <t>Wydatki</t>
  </si>
  <si>
    <t xml:space="preserve">Dochody do przekazania do budżetu państwa                            </t>
  </si>
  <si>
    <t>Dział</t>
  </si>
  <si>
    <t>Rozdział</t>
  </si>
  <si>
    <t>I</t>
  </si>
  <si>
    <t>DOCHODY SKARBU PAŃSTWA</t>
  </si>
  <si>
    <t>235</t>
  </si>
  <si>
    <t>Inspekcja sanitarna</t>
  </si>
  <si>
    <t>II</t>
  </si>
  <si>
    <t>DOCHODY I WYDATKI ZWIĄZANE Z REALIZACJĄ ZADAŃ ZLECONYCH</t>
  </si>
  <si>
    <t>211</t>
  </si>
  <si>
    <t>Prace geodezyjno - urządzeniowe na potrzeby rolnictwa</t>
  </si>
  <si>
    <t>Inspekcja weterynaryjna</t>
  </si>
  <si>
    <t>Dodatkowe wynagr. roczne</t>
  </si>
  <si>
    <t xml:space="preserve">Składki na ubezp. społeczne </t>
  </si>
  <si>
    <t>Różne wydatki na rzecz osób fiz.</t>
  </si>
  <si>
    <t>Nagrody i wydat. nie zal.do wyn.</t>
  </si>
  <si>
    <t>Dodatkowe wynagrodzenie roczne</t>
  </si>
  <si>
    <t>Uposaż. żołnierzy zawod. i nadtermin. oraz funkcjonar.</t>
  </si>
  <si>
    <t>Pozostałe należn. funkcjonar.</t>
  </si>
  <si>
    <t xml:space="preserve">Składki na ubezp.społeczne </t>
  </si>
  <si>
    <t>Zakup środkó żywności</t>
  </si>
  <si>
    <t>Komendy Powiatowe Państwowej Straży Pożarnej</t>
  </si>
  <si>
    <t>Wynagr.osobow.korpusu służby cywilnej</t>
  </si>
  <si>
    <t>Uposaż.żołnierzy zawod. i nadtermin.oraz funkcjon. zwol. ze służby</t>
  </si>
  <si>
    <t>Opłaty na rzecz jst</t>
  </si>
  <si>
    <t>Wydatki inwest.jedn.budżet.</t>
  </si>
  <si>
    <t>Składki na ubezp.zdr.os.nie obj.obow.ubezp.</t>
  </si>
  <si>
    <t>Składki na ubezp.zdrowotne</t>
  </si>
  <si>
    <t>Zasiłki rodzinne, pielęgnacyjne i wychowawcze</t>
  </si>
  <si>
    <t>Zespoły d/s orzek. o stopniu niepełnosprawności</t>
  </si>
  <si>
    <t>232</t>
  </si>
  <si>
    <t>dotacja celowa na realiz.poroz.z j.s.t.(powiat Ełk)</t>
  </si>
  <si>
    <t>RAZEM:</t>
  </si>
  <si>
    <t>Dochody</t>
  </si>
  <si>
    <t>Placówki opiekuńczo - wychowawcze</t>
  </si>
  <si>
    <t>Rodziny zastępcze</t>
  </si>
  <si>
    <t>Dochody i wydatki związane z realizacją zadań wspólnych realizowanych w drodze umów (porozumień) z jednostkami samorządu terytorialnego</t>
  </si>
  <si>
    <t>w tym:</t>
  </si>
  <si>
    <t>Placówki dokształc.i doskon.naucz.</t>
  </si>
  <si>
    <t>- Powiat Ełk</t>
  </si>
  <si>
    <t>Zespoły d/s orzek.o stopniu niepełnospr.</t>
  </si>
  <si>
    <t>Szkolne Schroniska Młodzieżowe</t>
  </si>
  <si>
    <t>- Gmina Dubeninki</t>
  </si>
  <si>
    <t>- Gmina Świętajno</t>
  </si>
  <si>
    <t>- Gmina Wieliczki</t>
  </si>
  <si>
    <t>- Gmina Kowale Oleckie</t>
  </si>
  <si>
    <t>Kultura i ochrona dziedzictwa narodowego</t>
  </si>
  <si>
    <t xml:space="preserve">- Gmina Olecko  (biblioteka)        </t>
  </si>
  <si>
    <t xml:space="preserve">RAZEM </t>
  </si>
  <si>
    <t>Źródła sfinansowania deficytu lub rozdysponowania nadwyżki budżetowej</t>
  </si>
  <si>
    <t>Lp.</t>
  </si>
  <si>
    <t>Treść</t>
  </si>
  <si>
    <t>Klasyfikacja przychodów i rozchodów</t>
  </si>
  <si>
    <t>Plan 2002</t>
  </si>
  <si>
    <t>I.</t>
  </si>
  <si>
    <t>Planowane dochody</t>
  </si>
  <si>
    <t>II.</t>
  </si>
  <si>
    <t>Planowane wydatki</t>
  </si>
  <si>
    <t>Nadwyżka/deficyt I - II</t>
  </si>
  <si>
    <t>Finansowanie  III - IV</t>
  </si>
  <si>
    <t>III.</t>
  </si>
  <si>
    <t>Przychody ogółem:</t>
  </si>
  <si>
    <t>1.</t>
  </si>
  <si>
    <t>§  952</t>
  </si>
  <si>
    <t>2.</t>
  </si>
  <si>
    <t>Pożyczki (uzyskane)</t>
  </si>
  <si>
    <t>3.</t>
  </si>
  <si>
    <t>Spłaty pożyczek udzielonych</t>
  </si>
  <si>
    <t>§  955</t>
  </si>
  <si>
    <t>4.</t>
  </si>
  <si>
    <t>Prywatyzacja majątku j.s.t.</t>
  </si>
  <si>
    <t>§ od 941 do 944</t>
  </si>
  <si>
    <t>5.</t>
  </si>
  <si>
    <t>Nadwyżka budżetu z lat ubiegłych</t>
  </si>
  <si>
    <t>§ 957</t>
  </si>
  <si>
    <t>Sprzedaż papierów wartościowych</t>
  </si>
  <si>
    <t>§  931</t>
  </si>
  <si>
    <t>8.</t>
  </si>
  <si>
    <t xml:space="preserve">Inne rozliczenia (wolne środki z tyt.rozl.kred.) </t>
  </si>
  <si>
    <t>IV.</t>
  </si>
  <si>
    <t>Rozchody ogółem:</t>
  </si>
  <si>
    <t>Spłata kredytu</t>
  </si>
  <si>
    <t>§  992</t>
  </si>
  <si>
    <t>Pożyczki udzielone</t>
  </si>
  <si>
    <t>§  995</t>
  </si>
  <si>
    <t>Spłaty pożyczek</t>
  </si>
  <si>
    <t>Lokaty w bankach</t>
  </si>
  <si>
    <t>§  994</t>
  </si>
  <si>
    <t>Wykup papierów wartościowych</t>
  </si>
  <si>
    <t>§  982</t>
  </si>
  <si>
    <t>Rozchody z tytułu innych rozliczeń</t>
  </si>
  <si>
    <t>V.</t>
  </si>
  <si>
    <t>VI</t>
  </si>
  <si>
    <t>Dochody przeznaczone na pokrycie wydatków (I-V)</t>
  </si>
  <si>
    <t>VII</t>
  </si>
  <si>
    <t>Wydatki nie znajdujące pokrycia w planowanych dochodach (II-VI)</t>
  </si>
  <si>
    <t>VIII</t>
  </si>
  <si>
    <t>Prognoza kwoty długu powiatu</t>
  </si>
  <si>
    <t>Rodzaj zadłużenia</t>
  </si>
  <si>
    <t>Przewidywany stan na koniec roku</t>
  </si>
  <si>
    <t>Wyemitowane papiery wartościowe</t>
  </si>
  <si>
    <t>Przyjęte depozyty</t>
  </si>
  <si>
    <t>Wymagalne zobowiązania, wynik. z nast. tytułów</t>
  </si>
  <si>
    <t>a) ustaw,</t>
  </si>
  <si>
    <t>b) orzeczeń sądu,</t>
  </si>
  <si>
    <t>c) udzielonych poręczeń i gwarancji</t>
  </si>
  <si>
    <t>d) innych tytułów</t>
  </si>
  <si>
    <t>6.</t>
  </si>
  <si>
    <t>Łączna kwota długu na koniec roku budż.</t>
  </si>
  <si>
    <t>7.</t>
  </si>
  <si>
    <t>Dochody ogółem</t>
  </si>
  <si>
    <t>Procentowy (%) udział długu w dochodach</t>
  </si>
  <si>
    <t>Zespół Szkół Technicznych w Olecku</t>
  </si>
  <si>
    <t>10.</t>
  </si>
  <si>
    <t>Powiatowy Zarząd Dróg w Olecku</t>
  </si>
  <si>
    <t>12.</t>
  </si>
  <si>
    <t>-</t>
  </si>
  <si>
    <t xml:space="preserve">                                 Wydatki inwestycyjne powiatu w roku budżetowym oraz wydatki związane z realizacją wieloletnich programów inwestycyjnych                                                                                                 </t>
  </si>
  <si>
    <t>Nazwa zadania inwestycyjnego i okres realizacji (w latach)</t>
  </si>
  <si>
    <t>Planowane nakłady</t>
  </si>
  <si>
    <t>Jednostki organizac. realiz. zadanie lub koordynuj. program</t>
  </si>
  <si>
    <t>w tym źródła finansowania</t>
  </si>
  <si>
    <t>2004r.</t>
  </si>
  <si>
    <t>środki własne</t>
  </si>
  <si>
    <t>kredyty i pożyczki</t>
  </si>
  <si>
    <t>środki pochodzące z innych źródeł</t>
  </si>
  <si>
    <t>Modernizacja drogi powiatowej nr 40454 Olecko-Świętajno (lata: 2001 - 2002)</t>
  </si>
  <si>
    <t>Starostwo Powiatowe w Olecku</t>
  </si>
  <si>
    <t>Budowa sali gimnastycznej w ZST Olecko                       (lata: 1997 - 2003)</t>
  </si>
  <si>
    <t>OGÓŁEM</t>
  </si>
  <si>
    <t>Przewodniczący Rady Powiatu: Juliusz Uss</t>
  </si>
  <si>
    <t xml:space="preserve">Dział </t>
  </si>
  <si>
    <t>Nazwa zad.inwest.</t>
  </si>
  <si>
    <t>Jedn.organiz.realiz.zadanie</t>
  </si>
  <si>
    <t xml:space="preserve">Ogółem </t>
  </si>
  <si>
    <t>dotacje z budżetu państwa</t>
  </si>
  <si>
    <t>9.</t>
  </si>
  <si>
    <t>Przewidywa-ne wykon. w 2000</t>
  </si>
  <si>
    <t>Wzrost w %   7:6</t>
  </si>
  <si>
    <t>strukt. procentowa</t>
  </si>
  <si>
    <t>zwiększenia (+)</t>
  </si>
  <si>
    <t>zmniejszenia (-)</t>
  </si>
  <si>
    <t>p.w. 2000</t>
  </si>
  <si>
    <t>Nazwa działu, rozdziału</t>
  </si>
  <si>
    <t>Dz.</t>
  </si>
  <si>
    <t>DOCHODY WŁASNE OGÓŁEM</t>
  </si>
  <si>
    <t>Rolnictwo i łowiectwo</t>
  </si>
  <si>
    <t>a)</t>
  </si>
  <si>
    <t>pozostałe odsetki</t>
  </si>
  <si>
    <t>092</t>
  </si>
  <si>
    <t>b)</t>
  </si>
  <si>
    <t>01095</t>
  </si>
  <si>
    <t>wpływy z różnych opłat</t>
  </si>
  <si>
    <t>069</t>
  </si>
  <si>
    <t>Transport i Łączność</t>
  </si>
  <si>
    <t>drogi publiczne powiatowe</t>
  </si>
  <si>
    <t>dochody z najmu i dzierżawy składników majątkowych</t>
  </si>
  <si>
    <t>075</t>
  </si>
  <si>
    <t>wpływy z usług</t>
  </si>
  <si>
    <t>083</t>
  </si>
  <si>
    <t>Wpływy z różnych odochodów</t>
  </si>
  <si>
    <t>097</t>
  </si>
  <si>
    <t>Gospodarka mieszkaniowa oraz niemat.usł.komun.</t>
  </si>
  <si>
    <t>Gospodarka gruntami i nieruchomościami.</t>
  </si>
  <si>
    <t>wpływy ze sprzedaży wyrobów skł.majątk.</t>
  </si>
  <si>
    <t>084</t>
  </si>
  <si>
    <t>wpływy z różnych dochodów (5%)</t>
  </si>
  <si>
    <t>Administracja publiczna</t>
  </si>
  <si>
    <t>Starostwa Powiatowe</t>
  </si>
  <si>
    <t>wpływy z opłaty komunikacyjnej</t>
  </si>
  <si>
    <t>042</t>
  </si>
  <si>
    <t>wpływy z różnych dochodów</t>
  </si>
  <si>
    <t>Bezpieczeństwo publiczne i ochrona przeciwpożarowa</t>
  </si>
  <si>
    <t>Dochody od osób prawnych,  fizycznych i od innych jednostek nie posiadających osobowości prawnej</t>
  </si>
  <si>
    <t>756</t>
  </si>
  <si>
    <t>Udziały powiatu w podatkach stanowiących dochód budżetu państwa</t>
  </si>
  <si>
    <t>75622</t>
  </si>
  <si>
    <t>podatek doch.od osób fizycznych</t>
  </si>
  <si>
    <t>001</t>
  </si>
  <si>
    <t>Różne rozliczenia</t>
  </si>
  <si>
    <t>Różne rozliczenia finansowe</t>
  </si>
  <si>
    <t>Rozliczenia między jednostkami samorządu terytorialnego</t>
  </si>
  <si>
    <t>wpływy z tytułu pomocy finansowej udzielanej j.s.t. na dofinansowanie własnych zadań bieżących</t>
  </si>
  <si>
    <t>wpływy z tytułu pomocy finansowej udzielanej j.s.t. na dofinansowanie własnych zadań inwestycyjnych i zakupów inwestycyjnych</t>
  </si>
  <si>
    <t>Oświata i wychowanie</t>
  </si>
  <si>
    <t>dochody z najmu i dzierżawy składników majątkowych Skarbu Państwa lub j.s.t. oraz innych umów o podobym charakterze</t>
  </si>
  <si>
    <t>Wpływy z różnych dochodów</t>
  </si>
  <si>
    <t>c)</t>
  </si>
  <si>
    <t>Ochrona zdrowia</t>
  </si>
  <si>
    <t>Opieka Społeczna</t>
  </si>
  <si>
    <t>d)</t>
  </si>
  <si>
    <t>Powiatowe Centra Pomocy Rodzinie</t>
  </si>
  <si>
    <t>e)</t>
  </si>
  <si>
    <t>PFRON</t>
  </si>
  <si>
    <t>f)</t>
  </si>
  <si>
    <t>Edukacyjna opieka wychowawcza</t>
  </si>
  <si>
    <t>Poradnie psychol - pedag. oraz inne poradnie specjalistyczne</t>
  </si>
  <si>
    <t>ŚRODKI POZYSKANE Z INNYCH ŹRÓDEŁ</t>
  </si>
  <si>
    <t>629</t>
  </si>
  <si>
    <t>dotacje celowe otrzymane od samorządu wojewódzkiego na inwestycje w ramach zawartych umów</t>
  </si>
  <si>
    <t>663</t>
  </si>
  <si>
    <t>środki na finansowanie własnych inwestycji pozyskane z innych źródeł (UKFiS)</t>
  </si>
  <si>
    <t>DOTACJE CEL. OTRZYM. Z GMINY NA ZADANIA BIEŻ.REALIZ.NA PODST.POROZ.(UMÓW) MIĘDZY J.S.T.</t>
  </si>
  <si>
    <t>Dotacje cel.otrzym.z powiatu na zad.bież.realiz.na podst.poroz.między jst</t>
  </si>
  <si>
    <t>Bezpieczeństwo publiczne i ochr.przeciwpoż.</t>
  </si>
  <si>
    <t>Komendy powiatowe policji</t>
  </si>
  <si>
    <t>Dotacje cel.otrzym.z gminy na zad.bież.realiz.na podst.poroz.między jst</t>
  </si>
  <si>
    <t>DOTACJE CEL. OTRZYM. Z GMINY NA INWEST. REALIZ.NA PODST.POROZ.(UMÓW) ZAWARTYCH MIĘDZY J.S.T.</t>
  </si>
  <si>
    <t>Dotacje cel.otrzym.z gminy na inwest.i zakupy inwest.realiz.na podst.poroz.między jst</t>
  </si>
  <si>
    <t>DOTACJE CELOWE NA ZADANIA WŁASNE POWIATU</t>
  </si>
  <si>
    <t xml:space="preserve">dotacje cel. przek. z budżetu pań. na realiz.zad. wł. powiatu </t>
  </si>
  <si>
    <t>Leśnictwo</t>
  </si>
  <si>
    <t>dotacje celowe na inwestycje</t>
  </si>
  <si>
    <t>Kolonie i obozy oraz inne formy wypocz. dzieci i młodz. szkolnej</t>
  </si>
  <si>
    <t>IV</t>
  </si>
  <si>
    <t>DOT.CEL. Z BUDŻETU PAŃSTWA NA REALIZ. INWEST. WŁASNYCH POWIATU</t>
  </si>
  <si>
    <t>dot.cel. z budż. państwa na realiz. inwest. i zakupów inwest.wł. powiatu</t>
  </si>
  <si>
    <t>V</t>
  </si>
  <si>
    <t>DOT. CEL. NA ZAD. BIEŻĄCE REAL. PRZEZ POWIAT NA podst. poroz Z J.S.T.</t>
  </si>
  <si>
    <t>dot.cel. otrzym. z gminy na zad. bież. real. na podst. poroz. (umów)  między j.s.t.</t>
  </si>
  <si>
    <t>DOTACJE CEL. Z  NA  INWEST. WŁASNE POWIATU REALIZ. NA PODST. POROZ. Z J.S.T.</t>
  </si>
  <si>
    <t>dotacje cel. otrzym z gminy na inwest. i zakupy inwest. realiz. na podst. poroz.(umów) między j.s.t.</t>
  </si>
  <si>
    <t>661</t>
  </si>
  <si>
    <t>Zakł opiek.- lecz. i pielęg. opiek.</t>
  </si>
  <si>
    <t>213</t>
  </si>
  <si>
    <t>Pomoc materialna dla uczniów</t>
  </si>
  <si>
    <t>DOTACJE CELOWE NA ZADANIA Z ZAKRESU ADMINISTRACJI RZĄDOWEJ</t>
  </si>
  <si>
    <t xml:space="preserve">Gospodarka mieszkaniowa </t>
  </si>
  <si>
    <t>Gospodarka gruntami i nieruchom.</t>
  </si>
  <si>
    <t>Działalność usługowa</t>
  </si>
  <si>
    <t>Ochrona Zdrowia</t>
  </si>
  <si>
    <t>Skł.na ubezp.zdrow.dla os.nie obj.obow.ubezp.</t>
  </si>
  <si>
    <t>zasiłki rodzinne, piel.i wychowaw.</t>
  </si>
  <si>
    <t>Powiat.Centr.Pomocy Rodzinie</t>
  </si>
  <si>
    <t>Zespoły ds. orzek. o stopniu niep</t>
  </si>
  <si>
    <t>IX.</t>
  </si>
  <si>
    <t>DOTACJE Z F-SZY CELOWYCH NA FINANS.LUB DOFIN. KOSZTÓW REALIZ.INWEST.I ZAKUPÓW INWEST. JEDN. SEKT.FIN.PUBL.</t>
  </si>
  <si>
    <t>Państwowy Fundusz Rehab.Os.Niepełnospr.</t>
  </si>
  <si>
    <t>Dotacje z f-szy cel.na finans.lub dofin.koszt.realiz.inwest.i zak. Inwest. Jedn.sekt.fin.publ.</t>
  </si>
  <si>
    <t>Gospodarka komunalna i ochr.środ.</t>
  </si>
  <si>
    <t>Fundusz Ochr.Środ.i Gosp.Wodnej</t>
  </si>
  <si>
    <t>DOTACJE OTRZYM. Z F-SZY CELOWYCH NA REALIZ. ZAD. BIEŻ. JEDN. SEKT.FIN.PUBL.</t>
  </si>
  <si>
    <t>Fund.Ochr.Środ.i Gosp.Wodnej</t>
  </si>
  <si>
    <t>Dot. z f. cel.na zad. bież j.s.f.p.</t>
  </si>
  <si>
    <t>SUBWENCJA</t>
  </si>
  <si>
    <t>część oświatowa subwencji ogólnej dla j.s.t.</t>
  </si>
  <si>
    <t>292</t>
  </si>
  <si>
    <t>część wyrównawcza subwencji ogólnej dla powiatów</t>
  </si>
  <si>
    <t>część drogowa subwencji ogólnej dla powiatów i województw</t>
  </si>
  <si>
    <t>DOCHODY OGÓŁEM</t>
  </si>
  <si>
    <t>1. Dotacje celowe</t>
  </si>
  <si>
    <t>- na zadania własne (§ 213 i § 643)</t>
  </si>
  <si>
    <t>- na zadania zlecone (§ 211)</t>
  </si>
  <si>
    <t>- uzysk.z f.celowych (§ 244, 626)</t>
  </si>
  <si>
    <t>- pozostałe dotacje i środki z innych źródeł</t>
  </si>
  <si>
    <t>Komendy powiatowe PSP</t>
  </si>
  <si>
    <t>/+/ zwiększenia</t>
  </si>
  <si>
    <t xml:space="preserve"> /-/ zmniejszenia</t>
  </si>
  <si>
    <t>Zmiana planu</t>
  </si>
  <si>
    <t>Dotacje celowe z budż.na dofin.zad.zlec.do real.stowarzysz.</t>
  </si>
  <si>
    <t>Zakłady  opiek.-leczn.i piel-opiek.</t>
  </si>
  <si>
    <t>zmiana planu</t>
  </si>
  <si>
    <t>Dotacje na inwestycje własne</t>
  </si>
  <si>
    <t>Wpłaty na PFRON</t>
  </si>
  <si>
    <t>096</t>
  </si>
  <si>
    <t>Spadki, zapisy i darowizny w formie pieniężnej</t>
  </si>
  <si>
    <t>STAROSTWO POWIATOWE W OLECKU</t>
  </si>
  <si>
    <t>POWIATOWY ZARZĄD DRÓG W OLECKU</t>
  </si>
  <si>
    <t>DOTACJE Z BUDŻETU PAŃSTWA NA REALIZACJĘ ZADAŃ WŁASNYCH POWIATU</t>
  </si>
  <si>
    <t>Nagrody i wyd.nie zal.do wynagr.</t>
  </si>
  <si>
    <t>Zakup pomocy naukowych</t>
  </si>
  <si>
    <t>Dotacje cel. na zad.zlec.jedn.nie zal. do sektora finansów publicznych</t>
  </si>
  <si>
    <t>Zakup leków i mater.medycznych</t>
  </si>
  <si>
    <t>Ośrodki adopcyjno-opiekuńcze</t>
  </si>
  <si>
    <t>OGÓŁEM DOTACJE NA ZADANIA WŁASNE</t>
  </si>
  <si>
    <t>Wyszczególnienie</t>
  </si>
  <si>
    <t>Stan funduszy na początek roku, w tym:</t>
  </si>
  <si>
    <t>- środki pieniężne</t>
  </si>
  <si>
    <t>- należności</t>
  </si>
  <si>
    <t>- zobowiązania</t>
  </si>
  <si>
    <t>- materiały</t>
  </si>
  <si>
    <t>Przychody</t>
  </si>
  <si>
    <t>Wydatki bieżące</t>
  </si>
  <si>
    <t>Stan funduszy na koniec roku, w tym:</t>
  </si>
  <si>
    <t>Lp</t>
  </si>
  <si>
    <t>Bursa Szkolna w Gołdapi</t>
  </si>
  <si>
    <t>Zespół Szkół Zawodowych w Gołdapi</t>
  </si>
  <si>
    <t>Zespół Szkół Liceal i Zawod. w Olecku</t>
  </si>
  <si>
    <t>Specjalny Ośrodek Szkol-Wych Gołdap</t>
  </si>
  <si>
    <t>Ośrodek Szkolno-Wychowawczy dla Dzie Głuch w Olecku</t>
  </si>
  <si>
    <t>Dom Dziecka w Gołdapi</t>
  </si>
  <si>
    <t>Dom Dziecka w Olecku</t>
  </si>
  <si>
    <t>Powiatowa Stacja Sanit-Epid. w Olecku</t>
  </si>
  <si>
    <t>Zespół Szkół Ogólnok. w Gołdapi</t>
  </si>
  <si>
    <t>Kom. Pow. Państ. Straży Poż.  Olecko</t>
  </si>
  <si>
    <t>Środki z ARiMR</t>
  </si>
  <si>
    <t>zwalczanie chorób zakaźnych zwierząt</t>
  </si>
  <si>
    <t>01022</t>
  </si>
  <si>
    <t>Zwalczanie chorób zakaźnych zwierząt</t>
  </si>
  <si>
    <t>Koszty postępowania sadowego i prokuratorskiego</t>
  </si>
  <si>
    <t>3250</t>
  </si>
  <si>
    <t>stypendia różne</t>
  </si>
  <si>
    <t>Różne stypendia</t>
  </si>
  <si>
    <t>Na pokrycie wydatków nie znajdujących pokrycia w planowanych dochodach planuje się przychody (III- IV)</t>
  </si>
  <si>
    <t>4610</t>
  </si>
  <si>
    <t>Urzędy naczelnych organów władzy państwowej, kontroli i ochrony prawa oraz sądownictwa</t>
  </si>
  <si>
    <t>Wybory do rad gmin,rad powiatów i sejmików województw oraz referenda gminne, powiatowe i wojewódzkie</t>
  </si>
  <si>
    <t>246</t>
  </si>
  <si>
    <t>Gospodarka leśna</t>
  </si>
  <si>
    <t>02001</t>
  </si>
  <si>
    <t>751</t>
  </si>
  <si>
    <t>75109</t>
  </si>
  <si>
    <t>URZĘDY NACZELNYCH ORGANÓW WŁADZY PAŃSTWOWEJ, KONTROLI I OCHRONY PRAW ORAZ SADOWNICTWA</t>
  </si>
  <si>
    <t xml:space="preserve">Plan przychodów i wydatków Powiatowego Funduszu Ochrony Środowiska i Gospodarki Wodnej </t>
  </si>
  <si>
    <t>Zmniejszenie funduszu o przekazane środki do Starostwa Gołdap</t>
  </si>
  <si>
    <t>§ 2440-dotacje przekazane z funduszy celowych na realizację zadań bieżących dla jednostek sektora finansów publicznych</t>
  </si>
  <si>
    <t>§ 4300-zakup usług pozostałych-edukacja ekologiczna i publikacje (szkolenia)</t>
  </si>
  <si>
    <t>Wydatki majątkowe, w tym</t>
  </si>
  <si>
    <t>§ 6260-dotacja z funduszy celowych na realizację inwestycji jednostek sektora finansów publicznych</t>
  </si>
  <si>
    <t xml:space="preserve"> § 4210-zakup materiałów i wyposażenia</t>
  </si>
  <si>
    <t>Dom Pomocy Społecznej w Kowalach Oleckich</t>
  </si>
  <si>
    <t>Odsetki od kredytów i pożyczek</t>
  </si>
  <si>
    <t>Licea ogólnokształcące</t>
  </si>
  <si>
    <t>szkoły pomaturalne i policealne</t>
  </si>
  <si>
    <t xml:space="preserve">Z dochodów przeznacza się na spłatę kredytów i pożyczek </t>
  </si>
  <si>
    <t>b) na pokrycie wydatków nie znajdujacych pokry-</t>
  </si>
  <si>
    <t>SUMA</t>
  </si>
  <si>
    <t xml:space="preserve">                                                                          </t>
  </si>
  <si>
    <t>4530</t>
  </si>
  <si>
    <t>Wybory do rad gmin, rad powiatów i sejmików województw oraz referenda gminne, powiatowe i wojew.</t>
  </si>
  <si>
    <t>PLAN DOCHODÓW BUDŻETU POWIATU NA ROK 2003</t>
  </si>
  <si>
    <t>Plan  2003</t>
  </si>
  <si>
    <t>Plan 2003</t>
  </si>
  <si>
    <t>struktura %</t>
  </si>
  <si>
    <t>PLAN WYDATKÓW BUDŻETU POWIATU NA ROK 2003</t>
  </si>
  <si>
    <t>Urzędy wojewódzkie                                  - prawo wodne  27.100                           - prawo geodez. 62.699</t>
  </si>
  <si>
    <t xml:space="preserve"> K.P.P -    33700zł</t>
  </si>
  <si>
    <t>K.P.P.S.P - 38700zł.</t>
  </si>
  <si>
    <t>dot.cel.otrzym.z budż.państwa na inwest.realiz.przez powiat na podst.poroz.z org. adm. rząd. (Kontrakt Wojewódzki</t>
  </si>
  <si>
    <t>Przewidywane wykonanie 2002</t>
  </si>
  <si>
    <t>I. Udziały we wpływach z podatku dochodowego od osób fizycznych § 001</t>
  </si>
  <si>
    <t>II. Dochody z majątku powiatu</t>
  </si>
  <si>
    <t xml:space="preserve">    1. Ze sprzedaży</t>
  </si>
  <si>
    <t xml:space="preserve">    2. Z dzierżawy</t>
  </si>
  <si>
    <t>III. Wpłaty od jednostek organizacyjnych powiatu</t>
  </si>
  <si>
    <t>IV. Pozostałe dochody</t>
  </si>
  <si>
    <t>A. Ogółem dochody własne (I+II+III+IV)</t>
  </si>
  <si>
    <t>V. Subwencja ogólna</t>
  </si>
  <si>
    <t xml:space="preserve">VI. Ogółem dotacje </t>
  </si>
  <si>
    <t xml:space="preserve">    1. Dotacje celowe na zadania własne powiatu § 213, § 643</t>
  </si>
  <si>
    <t xml:space="preserve">    2. Dotacje celowe na zadania z zakr.administr.rządowej wykonyw.przez powiat oraz na realiz.zadań służb, inspekcji i straży § 211 </t>
  </si>
  <si>
    <t xml:space="preserve">    4. Inne dotacje  </t>
  </si>
  <si>
    <t>B. Ogółem subwencje i dotacje (V i VI)</t>
  </si>
  <si>
    <t>DOCHODY OGÓŁEM ( A+B )</t>
  </si>
  <si>
    <t>Plan 2003 r</t>
  </si>
  <si>
    <t xml:space="preserve"> 4. Dotacje uzyskane z funduszy celowych (§§ 244,626)</t>
  </si>
  <si>
    <t>Nagr.i wyd.nie zal.do wynagr</t>
  </si>
  <si>
    <t>wypłaty z tyt.poręczeń kredyt.krajow.</t>
  </si>
  <si>
    <t>wypł.z tyt.pozost.poręcz.i gwar.</t>
  </si>
  <si>
    <t>Podatek od towarów i usług (VAT)</t>
  </si>
  <si>
    <t>Nazwa jednostki</t>
  </si>
  <si>
    <t>rozdział</t>
  </si>
  <si>
    <t>kwota dotacji</t>
  </si>
  <si>
    <t>Liceum Ekonomiczne (zaoczne)</t>
  </si>
  <si>
    <t>Liceum Ekonomiczne ( dzienne)</t>
  </si>
  <si>
    <t>Policealne Studium Zawodowe (zaoczne)</t>
  </si>
  <si>
    <t>Liceum Ekonomiczne (dzienne)</t>
  </si>
  <si>
    <t>Centrum "Omega"</t>
  </si>
  <si>
    <t>Studium Policealne Hotelarstwa (zaoczne dla dorosłych)</t>
  </si>
  <si>
    <t>RAZEM</t>
  </si>
  <si>
    <t>Liceum Ogólnokształcące na podb.szk.podst.(zaoczne)</t>
  </si>
  <si>
    <t>Dotacje dla niepublicznych przedszkoli, szkół i placówek oświatowo - wychowawczych w roku 2003</t>
  </si>
  <si>
    <t>Wyrównanie  z tyt.rozliczenia dotacji za 2002rok</t>
  </si>
  <si>
    <t>Liceum Ogólnokształcące na podbud.ZSZ (zaoczne)</t>
  </si>
  <si>
    <t>Liceum Ogólnokształcące dla dorosłych na podb.szk.podst. (zaoczne)</t>
  </si>
  <si>
    <t xml:space="preserve">Zaoczne Liceum Ogólnokształcące </t>
  </si>
  <si>
    <t>Gimnazjum Specjalne (dzienne)</t>
  </si>
  <si>
    <t>Zasadnicza Szkoła Zawodowa (dzienna)</t>
  </si>
  <si>
    <t>Szkoła Podstawowa Specjalna (dzienna)</t>
  </si>
  <si>
    <t>Studium Zarządzania Biznesem (zaoczne)</t>
  </si>
  <si>
    <t xml:space="preserve"> </t>
  </si>
  <si>
    <t>Dochody i wydatki związane z realizacją zadań z zakresu administracji rządowej zleconych powiatowi i innych zadań zleconych ustawami</t>
  </si>
  <si>
    <t>WYDATKI INWESTYCYJNE JEDNOSTEK BUDŻETOWYCH W ROKU 2003</t>
  </si>
  <si>
    <t>Plan przychodów i wydatków Powiatowego Funduszu Gospodarki Zasobem Geodezyjnym i Kartograficznym</t>
  </si>
  <si>
    <t>w zł.</t>
  </si>
  <si>
    <t>§ 083  - Wpływy z usług</t>
  </si>
  <si>
    <t>§ 092  - Odsetki</t>
  </si>
  <si>
    <t>§ 244 - dotacje otrzymane z funduszy celowych na realizację zadań bieżących jednostek sektora finansów publicznych, w tym:</t>
  </si>
  <si>
    <t>- dotacje z funduszu centralnego</t>
  </si>
  <si>
    <t>§ 2960-przelewy redystrybucyjne</t>
  </si>
  <si>
    <t>- przelewy na fundusz centralny i wojewódzki</t>
  </si>
  <si>
    <t>§ 4210-zakup matriałów i wyposażenia</t>
  </si>
  <si>
    <t>§ 4270-zakup usług remontowych</t>
  </si>
  <si>
    <t>§ 4300-zakup usług pozostałych</t>
  </si>
  <si>
    <t>§ 4410- podróże służbowe krajowe</t>
  </si>
  <si>
    <t>Wydatki majątkowe</t>
  </si>
  <si>
    <t>§ 6120- wydatki na zakupy inwestycyjne funduszy celowych</t>
  </si>
  <si>
    <t>Przebudowa Aleje Lipowe Olecko</t>
  </si>
  <si>
    <t>Zakup zestawu komputerowego 5.000zł oraz frankownicy i wagi elektronicznej 8.200zł</t>
  </si>
  <si>
    <t>Zakup samochodu przystosowanego do przewozu osób niepełnosprawnych *</t>
  </si>
  <si>
    <t>Dotacje celowe z budżetu państwa na inwrestycje i zakupy inwestycyjne  realizowane przez powiat na podstawie porozumień z organami administracji rządowej</t>
  </si>
  <si>
    <t>Dotacje celowe z budżetu państwa na inwestycje i zakupy inwestycyjne realizowane przez powiat na podstawie porozumień z organami administracji rządowej</t>
  </si>
  <si>
    <t>Wydatki inwestycyjne jednostek budżetowych</t>
  </si>
  <si>
    <t>(w zł)</t>
  </si>
  <si>
    <t>Kwota dotacji</t>
  </si>
  <si>
    <t>DOTACJE NA INWESTYCJE  DLA SAMODZIELNYCH PUBLICZNYCH ZAKŁADÓW OPIEKI ZDROWOTNEJ</t>
  </si>
  <si>
    <t xml:space="preserve">Nazwa </t>
  </si>
  <si>
    <t>Samodzielny Publiczny Zespół Zakładów Opieki Długoterminowej w Jaśkach k/Olecka</t>
  </si>
  <si>
    <t>OGÓŁEM KWOTA DOTACJI</t>
  </si>
  <si>
    <t>x</t>
  </si>
  <si>
    <t>PLAN DOCHODÓW BUDŻETU POWIATU NA 2003 ROK</t>
  </si>
  <si>
    <t>Plan na 2003r</t>
  </si>
  <si>
    <t>VIII.</t>
  </si>
  <si>
    <t>Udzielone przez powiat poręczenia i gwarancje (niewymagalne)</t>
  </si>
  <si>
    <t>75018</t>
  </si>
  <si>
    <t>Urzędy marszałkowskie</t>
  </si>
  <si>
    <t>2330</t>
  </si>
  <si>
    <t>Dotacje cel.przekaz.do samorz.wojew.na zad.bież.realiz.na podst.poroz.umów między jst</t>
  </si>
  <si>
    <t>Wynagr. osobowe pracowników</t>
  </si>
  <si>
    <t>Wynagr. os. czł. korp. sł. cywiln.</t>
  </si>
  <si>
    <t xml:space="preserve">    dotacje (§ § 2310, 2320,2330, 2540, 2560,2610,2820,2830)</t>
  </si>
  <si>
    <t>DOM POMOCY SPOŁECZNEJ W KOWALACH OLECKICH</t>
  </si>
  <si>
    <t xml:space="preserve"> - Urząd Marszałkowski w Olsztynie</t>
  </si>
  <si>
    <t>Wykaz zadań własnych powiatu zlecanych do realizacji podmiotom nie zaliczanym do sektora finansó publicznych i nie działających w celu osiągnięcia zysku w roku 2002</t>
  </si>
  <si>
    <t>Nazwa zadania</t>
  </si>
  <si>
    <t>OGÓŁEM KOWTA DOTACJI</t>
  </si>
  <si>
    <t>Umasowienie sportu wsród dzieci, młodzieży i dorosłych, promocja powiatu na imprezach ogólnopolskich oraz organizacja imprez ponadlokalnych na terenie powiatu oleckiego</t>
  </si>
  <si>
    <t xml:space="preserve">    3. Dotacje celowe na zadania (umowy i porozumienia) § § 212,231,232,642, 661,663)</t>
  </si>
  <si>
    <t>§069-opłaty i kary z tyt.gosp.korzystania ze środowiska</t>
  </si>
  <si>
    <t>§ 6120- wydatki na zakupy inwestycyjne</t>
  </si>
  <si>
    <t>4580</t>
  </si>
  <si>
    <t>Pozostałe odsetki</t>
  </si>
  <si>
    <t>kary i odszk.na rzecz os.fiz.</t>
  </si>
  <si>
    <t>kary i odszkod.na rzecz os.fiz.</t>
  </si>
  <si>
    <t>Powiat. Inspektorat Wet. w  Olecku</t>
  </si>
  <si>
    <t>Komendy Powiatowe  PSP</t>
  </si>
  <si>
    <t>1.1</t>
  </si>
  <si>
    <t>Zakład Doskonalenia Zawodowego w Białymstoku - dotacja na rok 2003</t>
  </si>
  <si>
    <t>1.2</t>
  </si>
  <si>
    <t>ZDZ Białystok - środki na rok 2003 (1.1+1.2)</t>
  </si>
  <si>
    <t>2.1</t>
  </si>
  <si>
    <t>3.1</t>
  </si>
  <si>
    <t>nie większą jednak niż wynikająca ze sprawozdań GUS</t>
  </si>
  <si>
    <t>UWAGA! do naliczenia zaliczkowych kwot dotacji na rok 2003 przyjęto planowaną przez placówki liczbę uczniów,</t>
  </si>
  <si>
    <t>fikacji bużetowej (od 01.01.2003 rozdział 80133 nie funkcjonuje)</t>
  </si>
  <si>
    <t>* Rozliczenia dotacji za rok 2002 z rozdziału 80133 dokonano w rozdziale 80130 ze względu na zmiany w klasy-</t>
  </si>
  <si>
    <t>80133*</t>
  </si>
  <si>
    <t>Rozliczenie dotacji należnej za rok 2002 (nadpłata "-", dopłata "+")</t>
  </si>
  <si>
    <t>2.2</t>
  </si>
  <si>
    <t>Centrum Edukacji i Rozwoju Zawodowego w Olecku - środki na 2003 (2.1+2.2)</t>
  </si>
  <si>
    <t>4.1</t>
  </si>
  <si>
    <t>Centrum Edukacji Specjalnej przy Środowiskowym Domu Samopomocy w Olecku</t>
  </si>
  <si>
    <t>Centrum Edukacji Specjalnej przy Środowiskowym Domu Samopomocy w Olecku - środki na rok 2003 (3.1+3.2)</t>
  </si>
  <si>
    <t>3.2</t>
  </si>
  <si>
    <t>Szkoły L.Olszewski</t>
  </si>
  <si>
    <t>4.2</t>
  </si>
  <si>
    <t>Szkoły L.Olszewski - środki na rok 2003 (4.1+4.2)</t>
  </si>
  <si>
    <t>** w roku 2002 dotacja klasyfikowana była w rozdziale 85405-przedszkola specjalne</t>
  </si>
  <si>
    <t xml:space="preserve">Liczba uczniów </t>
  </si>
  <si>
    <t>Oddział Przedszkolny  przy Szkole Podstawowej</t>
  </si>
  <si>
    <t>Dot.podmiot z budż. dla szkół niepub. (Centrum Edukacji Specj.przy Środow.Domu Samopomocy w Olecku")</t>
  </si>
  <si>
    <t>80104</t>
  </si>
  <si>
    <t>Oddział przedszkolny "0" przy szk.podst.spec.</t>
  </si>
  <si>
    <t>DOT.CEL.OTRZYM.Z SAMORZ.WOJEWÓDZTWA NA INWEST.REALIZ.NA PODST.POROZ.(UMÓW) MIĘDZY J.S.T.</t>
  </si>
  <si>
    <t>Turystyka</t>
  </si>
  <si>
    <t>Ośrodki informacji turystycznej</t>
  </si>
  <si>
    <t>dotacje cel.otrz.z samorz.wojew.na inwest.realiz.na podst.zawartych umów</t>
  </si>
  <si>
    <t>630</t>
  </si>
  <si>
    <t>TURYSTYKA</t>
  </si>
  <si>
    <t>63001</t>
  </si>
  <si>
    <t>dotacje celowe przekaz.gminie na inwestycje</t>
  </si>
  <si>
    <t>§ 6050 i 6053  - wydatki inwest. j.budż.  § 6060 - wyd.na zakupy inwest. jed. budżet. 6220 - dotacje na inwest.,6610-dot.przek.gminie na inwest.</t>
  </si>
  <si>
    <t>Przewodniczący Rady Powiatu: Wacław Sapieha</t>
  </si>
  <si>
    <t>- na um. i poroz.z j.s.t. i adm.rządową (§212, §231,  §232, §642, §661, § 662,§ 663)</t>
  </si>
  <si>
    <t xml:space="preserve"> - dotacja z samorządu wojewódzkiego</t>
  </si>
  <si>
    <t>11.</t>
  </si>
  <si>
    <t xml:space="preserve">odsetki  od kraj. pożyczek i kredytów </t>
  </si>
  <si>
    <t>Rozl. z tyt. poręcz. i gwar. udziel. przez  j.s.t.</t>
  </si>
  <si>
    <t>Dot.podmiot z budż. dla szkół niepub. (Centr.Ed. Spec.przy Środ.D.S.w Olecku")</t>
  </si>
  <si>
    <t>80123</t>
  </si>
  <si>
    <t>Licea profilowane</t>
  </si>
  <si>
    <t>środki z in. źród.(Kontr.Wojew.)</t>
  </si>
  <si>
    <t>Drogi publiczne powiatowe</t>
  </si>
  <si>
    <t>cia w planowanych dochodach (190.000)</t>
  </si>
  <si>
    <t>a) inwestycyjnych (680.000zł)</t>
  </si>
  <si>
    <t>85405**</t>
  </si>
  <si>
    <t xml:space="preserve">Sporządził: Janina Słomkowska                           Przewodniczący Rady Powiatu: Wacław Sapieha              </t>
  </si>
  <si>
    <t>Sporządził: Janina Słomkowska                        Przewodniczący Rady Powiatu: Wacław Sapieha</t>
  </si>
  <si>
    <t xml:space="preserve"> - Gmina Wieliczki</t>
  </si>
  <si>
    <t xml:space="preserve"> - Gmina Olecko</t>
  </si>
  <si>
    <t xml:space="preserve"> - Gmina Świętajno</t>
  </si>
  <si>
    <t>DOT.CEL.OTRZYM. Z GMIN NE REALIZ.POROZ. MIEDZY JST</t>
  </si>
  <si>
    <t>dotacja cel.przek.z gminy na zad.bież.real.na podst.poroz. miedzy j.s.t.</t>
  </si>
  <si>
    <t>dotacja cel.przek.z gminy na inwest.realiz.na podst.poroz. miedzy j.s.t.</t>
  </si>
  <si>
    <t>dotacja przekaz.gminie na inwest.</t>
  </si>
  <si>
    <t>Kredyty zaciągane w bankach krajowych*</t>
  </si>
  <si>
    <t>* 680.000zł - inwestycyjny na budowę sali gimnastycznej w ZST Olecko</t>
  </si>
  <si>
    <t xml:space="preserve">  190.000zł - na pokrycie wydatków bieżących</t>
  </si>
  <si>
    <t>dotacje z gmin</t>
  </si>
  <si>
    <t>rok budżetowy 2003 (7+8+9+10)</t>
  </si>
  <si>
    <t>Łączne nakłady finansowe (6+11+12)</t>
  </si>
  <si>
    <t>Sporządził: Janina Słomkowska             Przewodniczący Rady Powiatu: Wacław Sapieha</t>
  </si>
  <si>
    <t>Centrum Edukacji i Rozw. Zawod. w Olecku</t>
  </si>
  <si>
    <r>
      <t>r.80102-</t>
    </r>
    <r>
      <rPr>
        <b/>
        <sz val="8"/>
        <rFont val="Arial CE"/>
        <family val="2"/>
      </rPr>
      <t>181.417</t>
    </r>
    <r>
      <rPr>
        <sz val="8"/>
        <rFont val="Arial CE"/>
        <family val="2"/>
      </rPr>
      <t>; r.80104-</t>
    </r>
    <r>
      <rPr>
        <b/>
        <sz val="8"/>
        <rFont val="Arial CE"/>
        <family val="2"/>
      </rPr>
      <t>65.981</t>
    </r>
    <r>
      <rPr>
        <sz val="8"/>
        <rFont val="Arial CE"/>
        <family val="2"/>
      </rPr>
      <t>; r.80111-</t>
    </r>
    <r>
      <rPr>
        <b/>
        <sz val="8"/>
        <rFont val="Arial CE"/>
        <family val="2"/>
      </rPr>
      <t>51.059</t>
    </r>
    <r>
      <rPr>
        <sz val="8"/>
        <rFont val="Arial CE"/>
        <family val="2"/>
      </rPr>
      <t>; r.80120-</t>
    </r>
    <r>
      <rPr>
        <b/>
        <sz val="8"/>
        <rFont val="Arial CE"/>
        <family val="2"/>
      </rPr>
      <t>273.254</t>
    </r>
    <r>
      <rPr>
        <sz val="8"/>
        <rFont val="Arial CE"/>
        <family val="2"/>
      </rPr>
      <t>; r.80130-</t>
    </r>
    <r>
      <rPr>
        <b/>
        <sz val="8"/>
        <rFont val="Arial CE"/>
        <family val="2"/>
      </rPr>
      <t>339.218</t>
    </r>
    <r>
      <rPr>
        <sz val="8"/>
        <rFont val="Arial CE"/>
        <family val="2"/>
      </rPr>
      <t>; r.80134-</t>
    </r>
    <r>
      <rPr>
        <b/>
        <sz val="8"/>
        <rFont val="Arial CE"/>
        <family val="2"/>
      </rPr>
      <t>86.536</t>
    </r>
  </si>
  <si>
    <t>**  inwestycja wieloletnia, dokumentacja została opracowana przez Gminę Kowale Oleckie w roku 2001 i przekazana do PZD Olecko w czerwcu 2002.</t>
  </si>
  <si>
    <t>Przebudowa drogi powiatowej nr 441 Szeszki-Chełchy        (lata 2001-2004)**</t>
  </si>
  <si>
    <t>Budowa Szpitala Rejonowego w Olecku                                 (lata: 1986 - 2004)</t>
  </si>
  <si>
    <t>*  Kwota nakładów do poniesienia po roku 2005 ( w kolejnych latach) uzależniona jest od pozyskania środków finansowych z innych źródeł</t>
  </si>
  <si>
    <t>4420</t>
  </si>
  <si>
    <t>Podróże służbowe zagraniczne</t>
  </si>
  <si>
    <t>2013*</t>
  </si>
  <si>
    <t>*  poręczenia udziela się do dnia 31.03.2013r.</t>
  </si>
  <si>
    <t>Plany dochodów i wydatków  środków  specjalnych na rok 2003</t>
  </si>
  <si>
    <t>Stan środków pieniężnych  na początku roku</t>
  </si>
  <si>
    <t xml:space="preserve">Wydatki  </t>
  </si>
  <si>
    <t>Stan środków pieniężnych  na koniec roku</t>
  </si>
  <si>
    <t>Środki specjalne ogółem,                            w tym:</t>
  </si>
  <si>
    <t>Plany przychodów i kosztów  gospodarstw pomocniczych na rok 2003</t>
  </si>
  <si>
    <t>Stan  środków obrotowych na początku roku</t>
  </si>
  <si>
    <t>Koszty</t>
  </si>
  <si>
    <t>Stan środków obrotowych na koniec roku</t>
  </si>
  <si>
    <t>Kredyty  a) zaciągnięte 4.517.725                                                                  b) planowane do zaciągnięcia 870.000</t>
  </si>
  <si>
    <t>Spłata kredytów zaciągniętych (4.517.725)</t>
  </si>
  <si>
    <t>Spłata kredytów planowanych do zaciągnięcia:</t>
  </si>
  <si>
    <t>spłata  pożyczek planowanych do zaciągnięcia</t>
  </si>
  <si>
    <t>Pożyczki planow.do zaciągn.(z WFOŚiGW)</t>
  </si>
  <si>
    <t>Przebudowa drogi powiatowej nr 40410 Boćwinka-Czerwony Dwór - Cichy-Duły (lata 2002-2004)***</t>
  </si>
  <si>
    <t>***  inwestycja wieloletnia, dokumentacja została opracowana przez Powiat w roku 2002.</t>
  </si>
  <si>
    <t>Załącznik nr 3 do Uchwały Rady Powiatu w Olecku Nr V/41/03 z dn. 26 lutego 2003</t>
  </si>
  <si>
    <t>Załącznik nr 4 do Uchwały Rady Powiatu w Olecku Nr V/41/03 z dnia 26 lutego 2003r.</t>
  </si>
  <si>
    <t>załącznik nr 1 do uchwały Rady Powiatu w Olecku Nr V/41/03 z dnia 26 lutego 2003</t>
  </si>
  <si>
    <t>Załącznik Nr 1a do Uchwały Rady Powiatu w Olecku Nr V/41/03 z dnia 26 lutego 2003</t>
  </si>
  <si>
    <t>Załącznik nr 2 do Uchwały Rady Powiatu w Olecku Nr V/41/03  z dnia 26 lutego 2003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</si>
</sst>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#,##0\ _z_ł"/>
    <numFmt numFmtId="166" formatCode="#,##0.00\ _z_ł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00\-000"/>
    <numFmt numFmtId="171" formatCode="#,##0;[Red]#,##0"/>
    <numFmt numFmtId="172" formatCode="#,##0.00\ &quot;zł&quot;"/>
  </numFmts>
  <fonts count="14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u val="single"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b/>
      <u val="single"/>
      <sz val="11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sz val="9"/>
      <name val="Arial CE"/>
      <family val="2"/>
    </font>
    <font>
      <b/>
      <sz val="8"/>
      <name val="Arial CE"/>
      <family val="2"/>
    </font>
    <font>
      <b/>
      <u val="single"/>
      <sz val="12"/>
      <name val="Arial CE"/>
      <family val="2"/>
    </font>
    <font>
      <sz val="8"/>
      <name val="Arial CE"/>
      <family val="2"/>
    </font>
    <font>
      <b/>
      <u val="single"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68"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4" fillId="0" borderId="1" xfId="0" applyFont="1" applyBorder="1" applyAlignment="1">
      <alignment wrapText="1"/>
    </xf>
    <xf numFmtId="165" fontId="0" fillId="0" borderId="1" xfId="0" applyNumberFormat="1" applyBorder="1" applyAlignment="1">
      <alignment/>
    </xf>
    <xf numFmtId="10" fontId="0" fillId="0" borderId="1" xfId="0" applyNumberFormat="1" applyBorder="1" applyAlignment="1">
      <alignment/>
    </xf>
    <xf numFmtId="0" fontId="4" fillId="0" borderId="1" xfId="0" applyFont="1" applyBorder="1" applyAlignment="1">
      <alignment/>
    </xf>
    <xf numFmtId="0" fontId="0" fillId="0" borderId="1" xfId="0" applyBorder="1" applyAlignment="1">
      <alignment/>
    </xf>
    <xf numFmtId="165" fontId="4" fillId="0" borderId="1" xfId="0" applyNumberFormat="1" applyFont="1" applyBorder="1" applyAlignment="1">
      <alignment/>
    </xf>
    <xf numFmtId="10" fontId="4" fillId="0" borderId="1" xfId="0" applyNumberFormat="1" applyFont="1" applyBorder="1" applyAlignment="1">
      <alignment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 wrapText="1"/>
    </xf>
    <xf numFmtId="0" fontId="6" fillId="0" borderId="0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4" fillId="0" borderId="1" xfId="0" applyNumberFormat="1" applyFont="1" applyBorder="1" applyAlignment="1">
      <alignment/>
    </xf>
    <xf numFmtId="49" fontId="0" fillId="0" borderId="1" xfId="0" applyNumberFormat="1" applyBorder="1" applyAlignment="1">
      <alignment horizontal="left"/>
    </xf>
    <xf numFmtId="0" fontId="4" fillId="0" borderId="1" xfId="0" applyFont="1" applyBorder="1" applyAlignment="1">
      <alignment horizontal="right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right"/>
    </xf>
    <xf numFmtId="49" fontId="0" fillId="0" borderId="1" xfId="0" applyNumberFormat="1" applyBorder="1" applyAlignment="1">
      <alignment horizontal="left" wrapText="1"/>
    </xf>
    <xf numFmtId="49" fontId="4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0" fillId="0" borderId="1" xfId="0" applyNumberFormat="1" applyBorder="1" applyAlignment="1">
      <alignment/>
    </xf>
    <xf numFmtId="0" fontId="0" fillId="0" borderId="1" xfId="0" applyFont="1" applyBorder="1" applyAlignment="1">
      <alignment wrapText="1"/>
    </xf>
    <xf numFmtId="49" fontId="0" fillId="0" borderId="1" xfId="0" applyNumberFormat="1" applyFont="1" applyBorder="1" applyAlignment="1">
      <alignment/>
    </xf>
    <xf numFmtId="49" fontId="0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 wrapText="1"/>
    </xf>
    <xf numFmtId="0" fontId="0" fillId="0" borderId="1" xfId="0" applyBorder="1" applyAlignment="1">
      <alignment horizontal="left"/>
    </xf>
    <xf numFmtId="49" fontId="0" fillId="0" borderId="1" xfId="0" applyNumberFormat="1" applyFont="1" applyBorder="1" applyAlignment="1">
      <alignment horizontal="center"/>
    </xf>
    <xf numFmtId="49" fontId="0" fillId="0" borderId="1" xfId="0" applyNumberFormat="1" applyBorder="1" applyAlignment="1">
      <alignment horizontal="right" wrapText="1"/>
    </xf>
    <xf numFmtId="49" fontId="0" fillId="0" borderId="1" xfId="0" applyNumberFormat="1" applyBorder="1" applyAlignment="1">
      <alignment horizontal="center" wrapText="1"/>
    </xf>
    <xf numFmtId="0" fontId="4" fillId="0" borderId="0" xfId="0" applyFont="1" applyAlignment="1">
      <alignment/>
    </xf>
    <xf numFmtId="49" fontId="4" fillId="0" borderId="1" xfId="0" applyNumberFormat="1" applyFont="1" applyBorder="1" applyAlignment="1">
      <alignment horizont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6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wrapText="1"/>
    </xf>
    <xf numFmtId="0" fontId="4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14" xfId="0" applyBorder="1" applyAlignment="1">
      <alignment horizontal="center"/>
    </xf>
    <xf numFmtId="0" fontId="0" fillId="0" borderId="14" xfId="0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49" fontId="4" fillId="0" borderId="6" xfId="0" applyNumberFormat="1" applyFont="1" applyBorder="1" applyAlignment="1">
      <alignment/>
    </xf>
    <xf numFmtId="0" fontId="4" fillId="0" borderId="6" xfId="0" applyFont="1" applyBorder="1" applyAlignment="1">
      <alignment wrapText="1"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right"/>
    </xf>
    <xf numFmtId="49" fontId="0" fillId="0" borderId="6" xfId="0" applyNumberFormat="1" applyBorder="1" applyAlignment="1">
      <alignment/>
    </xf>
    <xf numFmtId="0" fontId="0" fillId="0" borderId="6" xfId="0" applyBorder="1" applyAlignment="1">
      <alignment wrapText="1"/>
    </xf>
    <xf numFmtId="0" fontId="0" fillId="0" borderId="6" xfId="0" applyBorder="1" applyAlignment="1">
      <alignment horizontal="right"/>
    </xf>
    <xf numFmtId="49" fontId="4" fillId="0" borderId="14" xfId="0" applyNumberFormat="1" applyFont="1" applyBorder="1" applyAlignment="1">
      <alignment/>
    </xf>
    <xf numFmtId="49" fontId="0" fillId="0" borderId="16" xfId="0" applyNumberFormat="1" applyBorder="1" applyAlignment="1">
      <alignment/>
    </xf>
    <xf numFmtId="49" fontId="0" fillId="0" borderId="14" xfId="0" applyNumberFormat="1" applyBorder="1" applyAlignment="1">
      <alignment/>
    </xf>
    <xf numFmtId="49" fontId="0" fillId="0" borderId="8" xfId="0" applyNumberFormat="1" applyBorder="1" applyAlignment="1">
      <alignment/>
    </xf>
    <xf numFmtId="49" fontId="0" fillId="0" borderId="17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0" fillId="0" borderId="8" xfId="0" applyNumberFormat="1" applyBorder="1" applyAlignment="1">
      <alignment wrapText="1"/>
    </xf>
    <xf numFmtId="49" fontId="0" fillId="0" borderId="2" xfId="0" applyNumberFormat="1" applyBorder="1" applyAlignment="1">
      <alignment/>
    </xf>
    <xf numFmtId="49" fontId="0" fillId="0" borderId="8" xfId="0" applyNumberFormat="1" applyFont="1" applyBorder="1" applyAlignment="1">
      <alignment/>
    </xf>
    <xf numFmtId="49" fontId="4" fillId="0" borderId="7" xfId="0" applyNumberFormat="1" applyFont="1" applyBorder="1" applyAlignment="1">
      <alignment/>
    </xf>
    <xf numFmtId="49" fontId="0" fillId="0" borderId="8" xfId="0" applyNumberFormat="1" applyFont="1" applyBorder="1" applyAlignment="1">
      <alignment wrapText="1"/>
    </xf>
    <xf numFmtId="49" fontId="4" fillId="0" borderId="16" xfId="0" applyNumberFormat="1" applyFont="1" applyBorder="1" applyAlignment="1">
      <alignment/>
    </xf>
    <xf numFmtId="49" fontId="4" fillId="0" borderId="17" xfId="0" applyNumberFormat="1" applyFont="1" applyBorder="1" applyAlignment="1">
      <alignment/>
    </xf>
    <xf numFmtId="49" fontId="4" fillId="0" borderId="2" xfId="0" applyNumberFormat="1" applyFont="1" applyBorder="1" applyAlignment="1">
      <alignment/>
    </xf>
    <xf numFmtId="49" fontId="0" fillId="0" borderId="14" xfId="0" applyNumberFormat="1" applyFont="1" applyBorder="1" applyAlignment="1">
      <alignment/>
    </xf>
    <xf numFmtId="49" fontId="0" fillId="0" borderId="7" xfId="0" applyNumberFormat="1" applyFont="1" applyBorder="1" applyAlignment="1">
      <alignment/>
    </xf>
    <xf numFmtId="49" fontId="4" fillId="0" borderId="8" xfId="0" applyNumberFormat="1" applyFont="1" applyBorder="1" applyAlignment="1">
      <alignment wrapText="1"/>
    </xf>
    <xf numFmtId="0" fontId="4" fillId="0" borderId="1" xfId="0" applyFont="1" applyBorder="1" applyAlignment="1">
      <alignment horizontal="right" wrapText="1"/>
    </xf>
    <xf numFmtId="0" fontId="0" fillId="0" borderId="1" xfId="0" applyFont="1" applyBorder="1" applyAlignment="1">
      <alignment horizontal="right" wrapText="1"/>
    </xf>
    <xf numFmtId="49" fontId="4" fillId="0" borderId="18" xfId="0" applyNumberFormat="1" applyFont="1" applyBorder="1" applyAlignment="1">
      <alignment/>
    </xf>
    <xf numFmtId="49" fontId="4" fillId="0" borderId="19" xfId="0" applyNumberFormat="1" applyFont="1" applyBorder="1" applyAlignment="1">
      <alignment/>
    </xf>
    <xf numFmtId="49" fontId="4" fillId="0" borderId="3" xfId="0" applyNumberFormat="1" applyFont="1" applyBorder="1" applyAlignment="1">
      <alignment/>
    </xf>
    <xf numFmtId="0" fontId="4" fillId="0" borderId="1" xfId="0" applyFont="1" applyBorder="1" applyAlignment="1">
      <alignment horizontal="left"/>
    </xf>
    <xf numFmtId="0" fontId="4" fillId="0" borderId="14" xfId="0" applyFont="1" applyBorder="1" applyAlignment="1">
      <alignment horizontal="right"/>
    </xf>
    <xf numFmtId="0" fontId="4" fillId="0" borderId="1" xfId="0" applyFont="1" applyBorder="1" applyAlignment="1">
      <alignment horizontal="left" wrapText="1"/>
    </xf>
    <xf numFmtId="0" fontId="4" fillId="0" borderId="2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49" fontId="4" fillId="0" borderId="1" xfId="0" applyNumberFormat="1" applyFont="1" applyBorder="1" applyAlignment="1">
      <alignment horizontal="left" wrapText="1"/>
    </xf>
    <xf numFmtId="49" fontId="0" fillId="0" borderId="1" xfId="0" applyNumberFormat="1" applyBorder="1" applyAlignment="1">
      <alignment wrapText="1"/>
    </xf>
    <xf numFmtId="49" fontId="4" fillId="0" borderId="1" xfId="0" applyNumberFormat="1" applyFont="1" applyBorder="1" applyAlignment="1">
      <alignment wrapText="1"/>
    </xf>
    <xf numFmtId="0" fontId="4" fillId="0" borderId="20" xfId="0" applyFont="1" applyBorder="1" applyAlignment="1">
      <alignment horizontal="center"/>
    </xf>
    <xf numFmtId="165" fontId="0" fillId="0" borderId="6" xfId="0" applyNumberFormat="1" applyBorder="1" applyAlignment="1">
      <alignment/>
    </xf>
    <xf numFmtId="165" fontId="0" fillId="0" borderId="7" xfId="0" applyNumberFormat="1" applyBorder="1" applyAlignment="1">
      <alignment/>
    </xf>
    <xf numFmtId="0" fontId="5" fillId="0" borderId="0" xfId="0" applyFont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/>
    </xf>
    <xf numFmtId="0" fontId="4" fillId="0" borderId="21" xfId="0" applyFont="1" applyBorder="1" applyAlignment="1">
      <alignment horizontal="center"/>
    </xf>
    <xf numFmtId="0" fontId="0" fillId="0" borderId="22" xfId="0" applyBorder="1" applyAlignment="1">
      <alignment/>
    </xf>
    <xf numFmtId="0" fontId="0" fillId="0" borderId="6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4" xfId="0" applyFill="1" applyBorder="1" applyAlignment="1">
      <alignment/>
    </xf>
    <xf numFmtId="0" fontId="0" fillId="0" borderId="14" xfId="0" applyBorder="1" applyAlignment="1">
      <alignment/>
    </xf>
    <xf numFmtId="0" fontId="4" fillId="0" borderId="23" xfId="0" applyFont="1" applyBorder="1" applyAlignment="1">
      <alignment/>
    </xf>
    <xf numFmtId="0" fontId="0" fillId="0" borderId="20" xfId="0" applyBorder="1" applyAlignment="1">
      <alignment/>
    </xf>
    <xf numFmtId="0" fontId="4" fillId="0" borderId="20" xfId="0" applyFont="1" applyBorder="1" applyAlignment="1">
      <alignment/>
    </xf>
    <xf numFmtId="0" fontId="0" fillId="0" borderId="25" xfId="0" applyBorder="1" applyAlignment="1">
      <alignment horizontal="center"/>
    </xf>
    <xf numFmtId="0" fontId="0" fillId="0" borderId="2" xfId="0" applyBorder="1" applyAlignment="1">
      <alignment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4" xfId="0" applyBorder="1" applyAlignment="1">
      <alignment wrapText="1"/>
    </xf>
    <xf numFmtId="0" fontId="0" fillId="0" borderId="16" xfId="0" applyBorder="1" applyAlignment="1">
      <alignment/>
    </xf>
    <xf numFmtId="0" fontId="4" fillId="0" borderId="22" xfId="0" applyFont="1" applyBorder="1" applyAlignment="1">
      <alignment/>
    </xf>
    <xf numFmtId="0" fontId="4" fillId="0" borderId="28" xfId="0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/>
    </xf>
    <xf numFmtId="0" fontId="0" fillId="0" borderId="31" xfId="0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0" fontId="4" fillId="0" borderId="30" xfId="0" applyFont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3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wrapText="1"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/>
    </xf>
    <xf numFmtId="0" fontId="0" fillId="0" borderId="8" xfId="0" applyBorder="1" applyAlignment="1">
      <alignment/>
    </xf>
    <xf numFmtId="0" fontId="4" fillId="0" borderId="1" xfId="0" applyFont="1" applyBorder="1" applyAlignment="1">
      <alignment horizontal="center" vertical="center" wrapText="1"/>
    </xf>
    <xf numFmtId="165" fontId="0" fillId="0" borderId="14" xfId="0" applyNumberFormat="1" applyBorder="1" applyAlignment="1">
      <alignment/>
    </xf>
    <xf numFmtId="0" fontId="0" fillId="0" borderId="17" xfId="0" applyBorder="1" applyAlignment="1">
      <alignment/>
    </xf>
    <xf numFmtId="0" fontId="4" fillId="0" borderId="14" xfId="0" applyFont="1" applyBorder="1" applyAlignment="1">
      <alignment/>
    </xf>
    <xf numFmtId="165" fontId="0" fillId="0" borderId="1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/>
    </xf>
    <xf numFmtId="41" fontId="9" fillId="0" borderId="14" xfId="0" applyNumberFormat="1" applyFont="1" applyBorder="1" applyAlignment="1">
      <alignment horizontal="center"/>
    </xf>
    <xf numFmtId="41" fontId="9" fillId="0" borderId="6" xfId="0" applyNumberFormat="1" applyFont="1" applyBorder="1" applyAlignment="1">
      <alignment horizontal="center"/>
    </xf>
    <xf numFmtId="41" fontId="7" fillId="0" borderId="1" xfId="0" applyNumberFormat="1" applyFont="1" applyBorder="1" applyAlignment="1">
      <alignment horizontal="center"/>
    </xf>
    <xf numFmtId="0" fontId="0" fillId="0" borderId="13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41" fontId="0" fillId="0" borderId="0" xfId="0" applyNumberFormat="1" applyAlignment="1">
      <alignment/>
    </xf>
    <xf numFmtId="0" fontId="0" fillId="0" borderId="0" xfId="0" applyFont="1" applyAlignment="1">
      <alignment/>
    </xf>
    <xf numFmtId="49" fontId="0" fillId="0" borderId="3" xfId="0" applyNumberFormat="1" applyBorder="1" applyAlignment="1">
      <alignment horizontal="left"/>
    </xf>
    <xf numFmtId="49" fontId="0" fillId="0" borderId="6" xfId="0" applyNumberFormat="1" applyBorder="1" applyAlignment="1">
      <alignment horizontal="left"/>
    </xf>
    <xf numFmtId="165" fontId="4" fillId="0" borderId="2" xfId="0" applyNumberFormat="1" applyFont="1" applyBorder="1" applyAlignment="1">
      <alignment horizontal="right"/>
    </xf>
    <xf numFmtId="164" fontId="4" fillId="0" borderId="1" xfId="0" applyNumberFormat="1" applyFont="1" applyBorder="1" applyAlignment="1">
      <alignment horizontal="right"/>
    </xf>
    <xf numFmtId="2" fontId="4" fillId="0" borderId="1" xfId="0" applyNumberFormat="1" applyFont="1" applyBorder="1" applyAlignment="1">
      <alignment/>
    </xf>
    <xf numFmtId="10" fontId="4" fillId="0" borderId="3" xfId="0" applyNumberFormat="1" applyFont="1" applyBorder="1" applyAlignment="1">
      <alignment/>
    </xf>
    <xf numFmtId="0" fontId="8" fillId="0" borderId="6" xfId="0" applyFont="1" applyBorder="1" applyAlignment="1">
      <alignment/>
    </xf>
    <xf numFmtId="164" fontId="4" fillId="0" borderId="6" xfId="0" applyNumberFormat="1" applyFont="1" applyBorder="1" applyAlignment="1">
      <alignment/>
    </xf>
    <xf numFmtId="0" fontId="0" fillId="0" borderId="6" xfId="0" applyFont="1" applyBorder="1" applyAlignment="1">
      <alignment wrapText="1"/>
    </xf>
    <xf numFmtId="164" fontId="0" fillId="0" borderId="6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164" fontId="4" fillId="0" borderId="1" xfId="0" applyNumberFormat="1" applyFont="1" applyBorder="1" applyAlignment="1">
      <alignment/>
    </xf>
    <xf numFmtId="164" fontId="0" fillId="0" borderId="1" xfId="0" applyNumberFormat="1" applyBorder="1" applyAlignment="1">
      <alignment/>
    </xf>
    <xf numFmtId="0" fontId="8" fillId="0" borderId="1" xfId="0" applyFont="1" applyBorder="1" applyAlignment="1">
      <alignment/>
    </xf>
    <xf numFmtId="0" fontId="8" fillId="0" borderId="1" xfId="0" applyFont="1" applyBorder="1" applyAlignment="1">
      <alignment wrapText="1"/>
    </xf>
    <xf numFmtId="0" fontId="0" fillId="0" borderId="8" xfId="0" applyBorder="1" applyAlignment="1">
      <alignment wrapText="1"/>
    </xf>
    <xf numFmtId="0" fontId="8" fillId="0" borderId="1" xfId="0" applyFont="1" applyBorder="1" applyAlignment="1">
      <alignment horizontal="left" wrapText="1"/>
    </xf>
    <xf numFmtId="0" fontId="0" fillId="0" borderId="14" xfId="0" applyBorder="1" applyAlignment="1">
      <alignment horizontal="left"/>
    </xf>
    <xf numFmtId="49" fontId="0" fillId="0" borderId="14" xfId="0" applyNumberFormat="1" applyBorder="1" applyAlignment="1">
      <alignment horizontal="left"/>
    </xf>
    <xf numFmtId="164" fontId="0" fillId="0" borderId="14" xfId="0" applyNumberFormat="1" applyBorder="1" applyAlignment="1">
      <alignment/>
    </xf>
    <xf numFmtId="10" fontId="0" fillId="0" borderId="14" xfId="0" applyNumberFormat="1" applyBorder="1" applyAlignment="1">
      <alignment/>
    </xf>
    <xf numFmtId="164" fontId="0" fillId="0" borderId="1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10" fontId="0" fillId="0" borderId="1" xfId="0" applyNumberFormat="1" applyFont="1" applyBorder="1" applyAlignment="1">
      <alignment/>
    </xf>
    <xf numFmtId="0" fontId="4" fillId="0" borderId="14" xfId="0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4" xfId="0" applyFont="1" applyBorder="1" applyAlignment="1">
      <alignment horizontal="left"/>
    </xf>
    <xf numFmtId="165" fontId="4" fillId="0" borderId="14" xfId="0" applyNumberFormat="1" applyFont="1" applyBorder="1" applyAlignment="1">
      <alignment/>
    </xf>
    <xf numFmtId="164" fontId="0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4" fillId="0" borderId="16" xfId="0" applyFont="1" applyBorder="1" applyAlignment="1">
      <alignment wrapText="1"/>
    </xf>
    <xf numFmtId="0" fontId="4" fillId="0" borderId="40" xfId="0" applyFont="1" applyBorder="1" applyAlignment="1">
      <alignment/>
    </xf>
    <xf numFmtId="0" fontId="0" fillId="0" borderId="3" xfId="0" applyBorder="1" applyAlignment="1">
      <alignment horizontal="left"/>
    </xf>
    <xf numFmtId="0" fontId="4" fillId="0" borderId="6" xfId="0" applyFont="1" applyBorder="1" applyAlignment="1">
      <alignment horizontal="left"/>
    </xf>
    <xf numFmtId="165" fontId="4" fillId="0" borderId="2" xfId="0" applyNumberFormat="1" applyFont="1" applyBorder="1" applyAlignment="1">
      <alignment/>
    </xf>
    <xf numFmtId="0" fontId="4" fillId="0" borderId="0" xfId="0" applyFont="1" applyBorder="1" applyAlignment="1">
      <alignment/>
    </xf>
    <xf numFmtId="0" fontId="4" fillId="0" borderId="17" xfId="0" applyFont="1" applyBorder="1" applyAlignment="1">
      <alignment wrapText="1"/>
    </xf>
    <xf numFmtId="0" fontId="4" fillId="0" borderId="3" xfId="0" applyFont="1" applyBorder="1" applyAlignment="1">
      <alignment horizontal="left"/>
    </xf>
    <xf numFmtId="0" fontId="0" fillId="0" borderId="6" xfId="0" applyBorder="1" applyAlignment="1">
      <alignment horizontal="left"/>
    </xf>
    <xf numFmtId="165" fontId="0" fillId="0" borderId="2" xfId="0" applyNumberFormat="1" applyBorder="1" applyAlignment="1">
      <alignment/>
    </xf>
    <xf numFmtId="10" fontId="0" fillId="0" borderId="3" xfId="0" applyNumberFormat="1" applyBorder="1" applyAlignment="1">
      <alignment/>
    </xf>
    <xf numFmtId="0" fontId="0" fillId="0" borderId="3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165" fontId="0" fillId="0" borderId="2" xfId="0" applyNumberFormat="1" applyFont="1" applyBorder="1" applyAlignment="1">
      <alignment/>
    </xf>
    <xf numFmtId="10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8" fillId="0" borderId="6" xfId="0" applyFont="1" applyBorder="1" applyAlignment="1">
      <alignment wrapText="1"/>
    </xf>
    <xf numFmtId="2" fontId="0" fillId="0" borderId="3" xfId="0" applyNumberFormat="1" applyFont="1" applyBorder="1" applyAlignment="1">
      <alignment/>
    </xf>
    <xf numFmtId="0" fontId="0" fillId="0" borderId="6" xfId="0" applyFont="1" applyBorder="1" applyAlignment="1">
      <alignment horizontal="right"/>
    </xf>
    <xf numFmtId="165" fontId="0" fillId="0" borderId="15" xfId="0" applyNumberFormat="1" applyFont="1" applyBorder="1" applyAlignment="1">
      <alignment/>
    </xf>
    <xf numFmtId="2" fontId="0" fillId="0" borderId="8" xfId="0" applyNumberFormat="1" applyFont="1" applyBorder="1" applyAlignment="1">
      <alignment/>
    </xf>
    <xf numFmtId="2" fontId="4" fillId="0" borderId="3" xfId="0" applyNumberFormat="1" applyFont="1" applyBorder="1" applyAlignment="1">
      <alignment/>
    </xf>
    <xf numFmtId="49" fontId="0" fillId="0" borderId="8" xfId="0" applyNumberFormat="1" applyFont="1" applyBorder="1" applyAlignment="1">
      <alignment horizontal="left"/>
    </xf>
    <xf numFmtId="10" fontId="0" fillId="0" borderId="8" xfId="0" applyNumberFormat="1" applyFont="1" applyBorder="1" applyAlignment="1">
      <alignment/>
    </xf>
    <xf numFmtId="49" fontId="4" fillId="0" borderId="8" xfId="0" applyNumberFormat="1" applyFont="1" applyBorder="1" applyAlignment="1">
      <alignment horizontal="left"/>
    </xf>
    <xf numFmtId="165" fontId="4" fillId="0" borderId="15" xfId="0" applyNumberFormat="1" applyFont="1" applyBorder="1" applyAlignment="1">
      <alignment/>
    </xf>
    <xf numFmtId="10" fontId="4" fillId="0" borderId="8" xfId="0" applyNumberFormat="1" applyFont="1" applyBorder="1" applyAlignment="1">
      <alignment/>
    </xf>
    <xf numFmtId="0" fontId="4" fillId="0" borderId="1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2" fontId="0" fillId="0" borderId="6" xfId="0" applyNumberFormat="1" applyBorder="1" applyAlignment="1">
      <alignment/>
    </xf>
    <xf numFmtId="10" fontId="0" fillId="0" borderId="6" xfId="0" applyNumberFormat="1" applyBorder="1" applyAlignment="1">
      <alignment/>
    </xf>
    <xf numFmtId="0" fontId="0" fillId="0" borderId="18" xfId="0" applyFont="1" applyBorder="1" applyAlignment="1">
      <alignment/>
    </xf>
    <xf numFmtId="0" fontId="0" fillId="0" borderId="18" xfId="0" applyBorder="1" applyAlignment="1">
      <alignment horizontal="left"/>
    </xf>
    <xf numFmtId="165" fontId="0" fillId="0" borderId="18" xfId="0" applyNumberFormat="1" applyFont="1" applyBorder="1" applyAlignment="1">
      <alignment/>
    </xf>
    <xf numFmtId="10" fontId="0" fillId="0" borderId="16" xfId="0" applyNumberFormat="1" applyBorder="1" applyAlignment="1">
      <alignment/>
    </xf>
    <xf numFmtId="2" fontId="0" fillId="0" borderId="14" xfId="0" applyNumberFormat="1" applyBorder="1" applyAlignment="1">
      <alignment/>
    </xf>
    <xf numFmtId="0" fontId="0" fillId="0" borderId="0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7" xfId="0" applyNumberFormat="1" applyBorder="1" applyAlignment="1">
      <alignment/>
    </xf>
    <xf numFmtId="2" fontId="0" fillId="0" borderId="7" xfId="0" applyNumberFormat="1" applyBorder="1" applyAlignment="1">
      <alignment/>
    </xf>
    <xf numFmtId="10" fontId="0" fillId="0" borderId="7" xfId="0" applyNumberFormat="1" applyBorder="1" applyAlignment="1">
      <alignment/>
    </xf>
    <xf numFmtId="0" fontId="0" fillId="0" borderId="13" xfId="0" applyBorder="1" applyAlignment="1">
      <alignment horizontal="left"/>
    </xf>
    <xf numFmtId="164" fontId="0" fillId="0" borderId="6" xfId="0" applyNumberFormat="1" applyBorder="1" applyAlignment="1">
      <alignment/>
    </xf>
    <xf numFmtId="0" fontId="0" fillId="0" borderId="7" xfId="0" applyBorder="1" applyAlignment="1">
      <alignment horizontal="right"/>
    </xf>
    <xf numFmtId="0" fontId="0" fillId="0" borderId="18" xfId="0" applyFont="1" applyBorder="1" applyAlignment="1">
      <alignment wrapText="1"/>
    </xf>
    <xf numFmtId="0" fontId="0" fillId="0" borderId="18" xfId="0" applyFont="1" applyBorder="1" applyAlignment="1">
      <alignment horizontal="left"/>
    </xf>
    <xf numFmtId="0" fontId="0" fillId="0" borderId="3" xfId="0" applyFont="1" applyBorder="1" applyAlignment="1">
      <alignment wrapText="1"/>
    </xf>
    <xf numFmtId="0" fontId="4" fillId="0" borderId="3" xfId="0" applyFont="1" applyBorder="1" applyAlignment="1">
      <alignment wrapText="1"/>
    </xf>
    <xf numFmtId="0" fontId="8" fillId="0" borderId="8" xfId="0" applyFont="1" applyBorder="1" applyAlignment="1">
      <alignment horizontal="center"/>
    </xf>
    <xf numFmtId="0" fontId="4" fillId="0" borderId="8" xfId="0" applyFont="1" applyBorder="1" applyAlignment="1">
      <alignment horizontal="left"/>
    </xf>
    <xf numFmtId="0" fontId="11" fillId="0" borderId="15" xfId="0" applyFont="1" applyBorder="1" applyAlignment="1">
      <alignment/>
    </xf>
    <xf numFmtId="165" fontId="8" fillId="0" borderId="8" xfId="0" applyNumberFormat="1" applyFont="1" applyBorder="1" applyAlignment="1">
      <alignment/>
    </xf>
    <xf numFmtId="164" fontId="8" fillId="0" borderId="1" xfId="0" applyNumberFormat="1" applyFont="1" applyBorder="1" applyAlignment="1">
      <alignment/>
    </xf>
    <xf numFmtId="0" fontId="0" fillId="0" borderId="3" xfId="0" applyBorder="1" applyAlignment="1">
      <alignment/>
    </xf>
    <xf numFmtId="49" fontId="0" fillId="0" borderId="15" xfId="0" applyNumberFormat="1" applyBorder="1" applyAlignment="1">
      <alignment/>
    </xf>
    <xf numFmtId="0" fontId="4" fillId="0" borderId="1" xfId="0" applyNumberFormat="1" applyFont="1" applyBorder="1" applyAlignment="1">
      <alignment/>
    </xf>
    <xf numFmtId="0" fontId="0" fillId="0" borderId="1" xfId="0" applyNumberFormat="1" applyBorder="1" applyAlignment="1">
      <alignment/>
    </xf>
    <xf numFmtId="0" fontId="0" fillId="0" borderId="14" xfId="0" applyNumberFormat="1" applyBorder="1" applyAlignment="1">
      <alignment/>
    </xf>
    <xf numFmtId="0" fontId="10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4" fillId="0" borderId="30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top"/>
    </xf>
    <xf numFmtId="0" fontId="4" fillId="0" borderId="31" xfId="0" applyFont="1" applyBorder="1" applyAlignment="1">
      <alignment horizontal="center" vertical="center"/>
    </xf>
    <xf numFmtId="0" fontId="4" fillId="0" borderId="31" xfId="0" applyFont="1" applyBorder="1" applyAlignment="1">
      <alignment horizontal="left" vertical="center"/>
    </xf>
    <xf numFmtId="0" fontId="0" fillId="0" borderId="31" xfId="0" applyBorder="1" applyAlignment="1">
      <alignment vertical="center"/>
    </xf>
    <xf numFmtId="49" fontId="4" fillId="0" borderId="14" xfId="0" applyNumberFormat="1" applyFont="1" applyBorder="1" applyAlignment="1">
      <alignment horizontal="left"/>
    </xf>
    <xf numFmtId="164" fontId="4" fillId="0" borderId="14" xfId="0" applyNumberFormat="1" applyFont="1" applyBorder="1" applyAlignment="1">
      <alignment/>
    </xf>
    <xf numFmtId="10" fontId="4" fillId="0" borderId="14" xfId="0" applyNumberFormat="1" applyFont="1" applyBorder="1" applyAlignment="1">
      <alignment/>
    </xf>
    <xf numFmtId="49" fontId="4" fillId="0" borderId="6" xfId="0" applyNumberFormat="1" applyFont="1" applyBorder="1" applyAlignment="1">
      <alignment horizontal="left"/>
    </xf>
    <xf numFmtId="165" fontId="4" fillId="0" borderId="16" xfId="0" applyNumberFormat="1" applyFont="1" applyBorder="1" applyAlignment="1">
      <alignment/>
    </xf>
    <xf numFmtId="2" fontId="4" fillId="0" borderId="14" xfId="0" applyNumberFormat="1" applyFont="1" applyBorder="1" applyAlignment="1">
      <alignment/>
    </xf>
    <xf numFmtId="10" fontId="4" fillId="0" borderId="18" xfId="0" applyNumberFormat="1" applyFont="1" applyBorder="1" applyAlignment="1">
      <alignment/>
    </xf>
    <xf numFmtId="2" fontId="4" fillId="0" borderId="6" xfId="0" applyNumberFormat="1" applyFont="1" applyBorder="1" applyAlignment="1">
      <alignment/>
    </xf>
    <xf numFmtId="0" fontId="6" fillId="0" borderId="41" xfId="0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left"/>
    </xf>
    <xf numFmtId="41" fontId="9" fillId="0" borderId="1" xfId="0" applyNumberFormat="1" applyFont="1" applyBorder="1" applyAlignment="1">
      <alignment horizontal="center"/>
    </xf>
    <xf numFmtId="0" fontId="4" fillId="0" borderId="2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/>
    </xf>
    <xf numFmtId="0" fontId="4" fillId="0" borderId="1" xfId="0" applyFont="1" applyBorder="1" applyAlignment="1">
      <alignment/>
    </xf>
    <xf numFmtId="41" fontId="4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/>
    </xf>
    <xf numFmtId="41" fontId="0" fillId="0" borderId="1" xfId="0" applyNumberFormat="1" applyFont="1" applyBorder="1" applyAlignment="1">
      <alignment horizontal="right"/>
    </xf>
    <xf numFmtId="165" fontId="4" fillId="0" borderId="1" xfId="0" applyNumberFormat="1" applyFont="1" applyBorder="1" applyAlignment="1">
      <alignment horizontal="right"/>
    </xf>
    <xf numFmtId="0" fontId="4" fillId="0" borderId="16" xfId="0" applyFont="1" applyBorder="1" applyAlignment="1">
      <alignment horizontal="right"/>
    </xf>
    <xf numFmtId="0" fontId="0" fillId="0" borderId="8" xfId="0" applyFont="1" applyBorder="1" applyAlignment="1">
      <alignment horizontal="center"/>
    </xf>
    <xf numFmtId="0" fontId="0" fillId="0" borderId="1" xfId="0" applyFont="1" applyBorder="1" applyAlignment="1">
      <alignment horizontal="left" wrapText="1"/>
    </xf>
    <xf numFmtId="165" fontId="0" fillId="0" borderId="1" xfId="0" applyNumberFormat="1" applyFont="1" applyBorder="1" applyAlignment="1">
      <alignment horizontal="right"/>
    </xf>
    <xf numFmtId="0" fontId="4" fillId="0" borderId="17" xfId="0" applyFont="1" applyBorder="1" applyAlignment="1">
      <alignment horizontal="right"/>
    </xf>
    <xf numFmtId="0" fontId="4" fillId="0" borderId="7" xfId="0" applyFont="1" applyBorder="1" applyAlignment="1">
      <alignment horizontal="right"/>
    </xf>
    <xf numFmtId="0" fontId="0" fillId="0" borderId="8" xfId="0" applyFont="1" applyBorder="1" applyAlignment="1">
      <alignment horizontal="center" wrapText="1"/>
    </xf>
    <xf numFmtId="0" fontId="0" fillId="0" borderId="8" xfId="0" applyFont="1" applyBorder="1" applyAlignment="1">
      <alignment horizontal="right"/>
    </xf>
    <xf numFmtId="0" fontId="0" fillId="0" borderId="18" xfId="0" applyFont="1" applyBorder="1" applyAlignment="1">
      <alignment horizontal="right"/>
    </xf>
    <xf numFmtId="0" fontId="0" fillId="0" borderId="14" xfId="0" applyFont="1" applyBorder="1" applyAlignment="1">
      <alignment horizontal="left" wrapText="1"/>
    </xf>
    <xf numFmtId="0" fontId="0" fillId="0" borderId="14" xfId="0" applyFont="1" applyBorder="1" applyAlignment="1">
      <alignment/>
    </xf>
    <xf numFmtId="165" fontId="0" fillId="0" borderId="14" xfId="0" applyNumberFormat="1" applyFont="1" applyBorder="1" applyAlignment="1">
      <alignment horizontal="right"/>
    </xf>
    <xf numFmtId="0" fontId="0" fillId="0" borderId="3" xfId="0" applyFont="1" applyBorder="1" applyAlignment="1">
      <alignment horizontal="right"/>
    </xf>
    <xf numFmtId="0" fontId="0" fillId="0" borderId="6" xfId="0" applyFont="1" applyBorder="1" applyAlignment="1">
      <alignment horizontal="left" wrapText="1"/>
    </xf>
    <xf numFmtId="0" fontId="0" fillId="0" borderId="6" xfId="0" applyFont="1" applyBorder="1" applyAlignment="1">
      <alignment/>
    </xf>
    <xf numFmtId="165" fontId="0" fillId="0" borderId="6" xfId="0" applyNumberFormat="1" applyFont="1" applyBorder="1" applyAlignment="1">
      <alignment horizontal="right"/>
    </xf>
    <xf numFmtId="0" fontId="4" fillId="0" borderId="7" xfId="0" applyFont="1" applyBorder="1" applyAlignment="1">
      <alignment/>
    </xf>
    <xf numFmtId="165" fontId="4" fillId="0" borderId="1" xfId="0" applyNumberFormat="1" applyFont="1" applyBorder="1" applyAlignment="1">
      <alignment/>
    </xf>
    <xf numFmtId="165" fontId="5" fillId="0" borderId="1" xfId="0" applyNumberFormat="1" applyFont="1" applyBorder="1" applyAlignment="1">
      <alignment/>
    </xf>
    <xf numFmtId="49" fontId="0" fillId="0" borderId="0" xfId="0" applyNumberFormat="1" applyAlignment="1">
      <alignment/>
    </xf>
    <xf numFmtId="0" fontId="5" fillId="0" borderId="0" xfId="0" applyFont="1" applyAlignment="1">
      <alignment horizontal="center" wrapText="1"/>
    </xf>
    <xf numFmtId="0" fontId="4" fillId="0" borderId="42" xfId="0" applyFont="1" applyBorder="1" applyAlignment="1">
      <alignment horizontal="center"/>
    </xf>
    <xf numFmtId="0" fontId="4" fillId="0" borderId="42" xfId="0" applyFont="1" applyBorder="1" applyAlignment="1">
      <alignment/>
    </xf>
    <xf numFmtId="0" fontId="0" fillId="0" borderId="35" xfId="0" applyBorder="1" applyAlignment="1">
      <alignment horizontal="center"/>
    </xf>
    <xf numFmtId="49" fontId="0" fillId="0" borderId="43" xfId="0" applyNumberFormat="1" applyBorder="1" applyAlignment="1">
      <alignment/>
    </xf>
    <xf numFmtId="49" fontId="0" fillId="0" borderId="37" xfId="0" applyNumberFormat="1" applyBorder="1" applyAlignment="1">
      <alignment/>
    </xf>
    <xf numFmtId="49" fontId="0" fillId="0" borderId="40" xfId="0" applyNumberFormat="1" applyBorder="1" applyAlignment="1">
      <alignment/>
    </xf>
    <xf numFmtId="0" fontId="4" fillId="0" borderId="34" xfId="0" applyFont="1" applyBorder="1" applyAlignment="1">
      <alignment horizontal="center"/>
    </xf>
    <xf numFmtId="49" fontId="0" fillId="0" borderId="13" xfId="0" applyNumberFormat="1" applyBorder="1" applyAlignment="1">
      <alignment/>
    </xf>
    <xf numFmtId="49" fontId="0" fillId="0" borderId="44" xfId="0" applyNumberFormat="1" applyBorder="1" applyAlignment="1">
      <alignment/>
    </xf>
    <xf numFmtId="0" fontId="4" fillId="0" borderId="6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wrapText="1"/>
    </xf>
    <xf numFmtId="0" fontId="4" fillId="0" borderId="21" xfId="0" applyFont="1" applyBorder="1" applyAlignment="1">
      <alignment/>
    </xf>
    <xf numFmtId="0" fontId="0" fillId="0" borderId="45" xfId="0" applyBorder="1" applyAlignment="1">
      <alignment horizontal="center"/>
    </xf>
    <xf numFmtId="0" fontId="4" fillId="0" borderId="22" xfId="0" applyFont="1" applyBorder="1" applyAlignment="1">
      <alignment wrapText="1"/>
    </xf>
    <xf numFmtId="0" fontId="4" fillId="0" borderId="37" xfId="0" applyFont="1" applyBorder="1" applyAlignment="1">
      <alignment/>
    </xf>
    <xf numFmtId="0" fontId="0" fillId="0" borderId="34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29" xfId="0" applyBorder="1" applyAlignment="1">
      <alignment/>
    </xf>
    <xf numFmtId="0" fontId="12" fillId="0" borderId="1" xfId="0" applyFont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46" xfId="0" applyBorder="1" applyAlignment="1">
      <alignment/>
    </xf>
    <xf numFmtId="0" fontId="4" fillId="2" borderId="19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/>
    </xf>
    <xf numFmtId="49" fontId="4" fillId="0" borderId="22" xfId="0" applyNumberFormat="1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47" xfId="0" applyFont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48" xfId="0" applyBorder="1" applyAlignment="1">
      <alignment/>
    </xf>
    <xf numFmtId="0" fontId="0" fillId="0" borderId="23" xfId="0" applyBorder="1" applyAlignment="1">
      <alignment/>
    </xf>
    <xf numFmtId="0" fontId="4" fillId="0" borderId="46" xfId="0" applyFont="1" applyBorder="1" applyAlignment="1">
      <alignment/>
    </xf>
    <xf numFmtId="0" fontId="0" fillId="0" borderId="15" xfId="0" applyBorder="1" applyAlignment="1">
      <alignment/>
    </xf>
    <xf numFmtId="0" fontId="0" fillId="0" borderId="49" xfId="0" applyBorder="1" applyAlignment="1">
      <alignment/>
    </xf>
    <xf numFmtId="0" fontId="0" fillId="0" borderId="50" xfId="0" applyBorder="1" applyAlignment="1">
      <alignment/>
    </xf>
    <xf numFmtId="0" fontId="0" fillId="0" borderId="11" xfId="0" applyBorder="1" applyAlignment="1">
      <alignment/>
    </xf>
    <xf numFmtId="0" fontId="5" fillId="0" borderId="1" xfId="0" applyFont="1" applyBorder="1" applyAlignment="1">
      <alignment horizontal="center" vertical="center"/>
    </xf>
    <xf numFmtId="165" fontId="0" fillId="0" borderId="0" xfId="0" applyNumberFormat="1" applyAlignment="1">
      <alignment/>
    </xf>
    <xf numFmtId="0" fontId="4" fillId="0" borderId="0" xfId="0" applyFont="1" applyBorder="1" applyAlignment="1">
      <alignment horizontal="center" wrapText="1"/>
    </xf>
    <xf numFmtId="49" fontId="0" fillId="0" borderId="18" xfId="0" applyNumberFormat="1" applyBorder="1" applyAlignment="1">
      <alignment/>
    </xf>
    <xf numFmtId="0" fontId="4" fillId="0" borderId="39" xfId="0" applyFont="1" applyBorder="1" applyAlignment="1">
      <alignment horizontal="center"/>
    </xf>
    <xf numFmtId="49" fontId="4" fillId="0" borderId="40" xfId="0" applyNumberFormat="1" applyFont="1" applyBorder="1" applyAlignment="1">
      <alignment/>
    </xf>
    <xf numFmtId="49" fontId="0" fillId="0" borderId="40" xfId="0" applyNumberFormat="1" applyBorder="1" applyAlignment="1">
      <alignment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Alignment="1">
      <alignment horizontal="center" wrapText="1"/>
    </xf>
    <xf numFmtId="0" fontId="0" fillId="0" borderId="0" xfId="0" applyBorder="1" applyAlignment="1">
      <alignment horizontal="center" vertical="center" wrapText="1"/>
    </xf>
    <xf numFmtId="0" fontId="4" fillId="0" borderId="46" xfId="0" applyFont="1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52" xfId="0" applyBorder="1" applyAlignment="1">
      <alignment horizontal="center"/>
    </xf>
    <xf numFmtId="0" fontId="0" fillId="0" borderId="53" xfId="0" applyBorder="1" applyAlignment="1">
      <alignment horizontal="center"/>
    </xf>
    <xf numFmtId="165" fontId="0" fillId="0" borderId="54" xfId="0" applyNumberFormat="1" applyBorder="1" applyAlignment="1">
      <alignment/>
    </xf>
    <xf numFmtId="165" fontId="0" fillId="0" borderId="55" xfId="0" applyNumberFormat="1" applyBorder="1" applyAlignment="1">
      <alignment/>
    </xf>
    <xf numFmtId="0" fontId="4" fillId="0" borderId="28" xfId="0" applyFont="1" applyBorder="1" applyAlignment="1">
      <alignment horizontal="center"/>
    </xf>
    <xf numFmtId="0" fontId="0" fillId="0" borderId="46" xfId="0" applyBorder="1" applyAlignment="1">
      <alignment horizontal="left" vertical="center" wrapText="1"/>
    </xf>
    <xf numFmtId="0" fontId="0" fillId="0" borderId="22" xfId="0" applyBorder="1" applyAlignment="1">
      <alignment horizontal="left" vertical="center" wrapText="1"/>
    </xf>
    <xf numFmtId="165" fontId="4" fillId="0" borderId="22" xfId="0" applyNumberFormat="1" applyFont="1" applyBorder="1" applyAlignment="1">
      <alignment/>
    </xf>
    <xf numFmtId="165" fontId="4" fillId="0" borderId="28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" xfId="0" applyBorder="1" applyAlignment="1">
      <alignment horizontal="center"/>
    </xf>
    <xf numFmtId="49" fontId="0" fillId="0" borderId="1" xfId="0" applyNumberFormat="1" applyFont="1" applyBorder="1" applyAlignment="1">
      <alignment wrapText="1"/>
    </xf>
    <xf numFmtId="0" fontId="4" fillId="0" borderId="46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56" xfId="0" applyBorder="1" applyAlignment="1">
      <alignment wrapText="1"/>
    </xf>
    <xf numFmtId="0" fontId="0" fillId="0" borderId="26" xfId="0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0" xfId="0" applyBorder="1" applyAlignment="1">
      <alignment horizontal="right"/>
    </xf>
    <xf numFmtId="165" fontId="0" fillId="0" borderId="1" xfId="0" applyNumberFormat="1" applyBorder="1" applyAlignment="1">
      <alignment horizontal="center"/>
    </xf>
    <xf numFmtId="165" fontId="4" fillId="0" borderId="1" xfId="0" applyNumberFormat="1" applyFont="1" applyBorder="1" applyAlignment="1">
      <alignment horizontal="center"/>
    </xf>
    <xf numFmtId="0" fontId="4" fillId="0" borderId="57" xfId="0" applyFont="1" applyBorder="1" applyAlignment="1">
      <alignment wrapText="1"/>
    </xf>
    <xf numFmtId="0" fontId="4" fillId="0" borderId="51" xfId="0" applyFont="1" applyBorder="1" applyAlignment="1">
      <alignment horizontal="center"/>
    </xf>
    <xf numFmtId="44" fontId="0" fillId="0" borderId="0" xfId="20" applyFont="1" applyAlignment="1">
      <alignment/>
    </xf>
    <xf numFmtId="0" fontId="4" fillId="0" borderId="23" xfId="0" applyFont="1" applyBorder="1" applyAlignment="1">
      <alignment wrapText="1"/>
    </xf>
    <xf numFmtId="0" fontId="4" fillId="0" borderId="1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14" xfId="0" applyFont="1" applyBorder="1" applyAlignment="1">
      <alignment horizontal="right" wrapText="1"/>
    </xf>
    <xf numFmtId="49" fontId="0" fillId="0" borderId="3" xfId="0" applyNumberFormat="1" applyFont="1" applyBorder="1" applyAlignment="1">
      <alignment/>
    </xf>
    <xf numFmtId="0" fontId="0" fillId="0" borderId="6" xfId="0" applyFont="1" applyBorder="1" applyAlignment="1">
      <alignment/>
    </xf>
    <xf numFmtId="0" fontId="0" fillId="0" borderId="6" xfId="0" applyFont="1" applyBorder="1" applyAlignment="1">
      <alignment horizontal="right" wrapText="1"/>
    </xf>
    <xf numFmtId="0" fontId="12" fillId="0" borderId="0" xfId="0" applyFont="1" applyAlignment="1">
      <alignment/>
    </xf>
    <xf numFmtId="165" fontId="12" fillId="0" borderId="0" xfId="0" applyNumberFormat="1" applyFont="1" applyAlignment="1">
      <alignment/>
    </xf>
    <xf numFmtId="0" fontId="10" fillId="0" borderId="1" xfId="0" applyFont="1" applyBorder="1" applyAlignment="1">
      <alignment horizontal="center" vertical="center" wrapText="1"/>
    </xf>
    <xf numFmtId="0" fontId="10" fillId="0" borderId="14" xfId="0" applyFont="1" applyBorder="1" applyAlignment="1">
      <alignment/>
    </xf>
    <xf numFmtId="0" fontId="10" fillId="0" borderId="1" xfId="0" applyFont="1" applyBorder="1" applyAlignment="1">
      <alignment wrapText="1"/>
    </xf>
    <xf numFmtId="0" fontId="10" fillId="0" borderId="1" xfId="0" applyFont="1" applyBorder="1" applyAlignment="1">
      <alignment horizontal="center"/>
    </xf>
    <xf numFmtId="165" fontId="10" fillId="0" borderId="1" xfId="0" applyNumberFormat="1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/>
    </xf>
    <xf numFmtId="165" fontId="12" fillId="0" borderId="1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2" fillId="0" borderId="14" xfId="0" applyFont="1" applyBorder="1" applyAlignment="1">
      <alignment wrapText="1"/>
    </xf>
    <xf numFmtId="0" fontId="12" fillId="0" borderId="14" xfId="0" applyFont="1" applyBorder="1" applyAlignment="1">
      <alignment horizontal="center" wrapText="1"/>
    </xf>
    <xf numFmtId="0" fontId="12" fillId="0" borderId="14" xfId="0" applyFont="1" applyBorder="1" applyAlignment="1">
      <alignment/>
    </xf>
    <xf numFmtId="165" fontId="12" fillId="0" borderId="14" xfId="0" applyNumberFormat="1" applyFont="1" applyBorder="1" applyAlignment="1">
      <alignment/>
    </xf>
    <xf numFmtId="0" fontId="10" fillId="0" borderId="16" xfId="0" applyFont="1" applyBorder="1" applyAlignment="1">
      <alignment wrapText="1"/>
    </xf>
    <xf numFmtId="0" fontId="10" fillId="0" borderId="16" xfId="0" applyFont="1" applyBorder="1" applyAlignment="1">
      <alignment horizontal="center" wrapText="1"/>
    </xf>
    <xf numFmtId="0" fontId="10" fillId="0" borderId="16" xfId="0" applyFont="1" applyBorder="1" applyAlignment="1">
      <alignment horizontal="center"/>
    </xf>
    <xf numFmtId="165" fontId="10" fillId="0" borderId="14" xfId="0" applyNumberFormat="1" applyFont="1" applyBorder="1" applyAlignment="1">
      <alignment/>
    </xf>
    <xf numFmtId="0" fontId="12" fillId="0" borderId="0" xfId="0" applyFont="1" applyBorder="1" applyAlignment="1">
      <alignment wrapText="1"/>
    </xf>
    <xf numFmtId="0" fontId="12" fillId="0" borderId="17" xfId="0" applyFont="1" applyBorder="1" applyAlignment="1">
      <alignment horizontal="center" wrapText="1"/>
    </xf>
    <xf numFmtId="0" fontId="12" fillId="0" borderId="17" xfId="0" applyFont="1" applyBorder="1" applyAlignment="1">
      <alignment/>
    </xf>
    <xf numFmtId="165" fontId="12" fillId="0" borderId="7" xfId="0" applyNumberFormat="1" applyFont="1" applyBorder="1" applyAlignment="1">
      <alignment/>
    </xf>
    <xf numFmtId="0" fontId="12" fillId="0" borderId="13" xfId="0" applyFont="1" applyBorder="1" applyAlignment="1">
      <alignment wrapText="1"/>
    </xf>
    <xf numFmtId="0" fontId="12" fillId="0" borderId="2" xfId="0" applyFont="1" applyBorder="1" applyAlignment="1">
      <alignment horizontal="center" wrapText="1"/>
    </xf>
    <xf numFmtId="0" fontId="12" fillId="0" borderId="2" xfId="0" applyFont="1" applyBorder="1" applyAlignment="1">
      <alignment horizontal="right"/>
    </xf>
    <xf numFmtId="165" fontId="12" fillId="0" borderId="6" xfId="0" applyNumberFormat="1" applyFont="1" applyBorder="1" applyAlignment="1">
      <alignment/>
    </xf>
    <xf numFmtId="0" fontId="10" fillId="0" borderId="6" xfId="0" applyFont="1" applyBorder="1" applyAlignment="1">
      <alignment/>
    </xf>
    <xf numFmtId="0" fontId="10" fillId="0" borderId="6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165" fontId="10" fillId="0" borderId="6" xfId="0" applyNumberFormat="1" applyFont="1" applyBorder="1" applyAlignment="1">
      <alignment/>
    </xf>
    <xf numFmtId="0" fontId="10" fillId="0" borderId="7" xfId="0" applyFont="1" applyBorder="1" applyAlignment="1">
      <alignment/>
    </xf>
    <xf numFmtId="0" fontId="10" fillId="0" borderId="6" xfId="0" applyFont="1" applyBorder="1" applyAlignment="1">
      <alignment wrapText="1"/>
    </xf>
    <xf numFmtId="0" fontId="10" fillId="0" borderId="1" xfId="0" applyFont="1" applyBorder="1" applyAlignment="1">
      <alignment/>
    </xf>
    <xf numFmtId="0" fontId="10" fillId="0" borderId="17" xfId="0" applyFont="1" applyBorder="1" applyAlignment="1">
      <alignment/>
    </xf>
    <xf numFmtId="165" fontId="10" fillId="0" borderId="14" xfId="0" applyNumberFormat="1" applyFont="1" applyBorder="1" applyAlignment="1">
      <alignment horizontal="right"/>
    </xf>
    <xf numFmtId="0" fontId="12" fillId="0" borderId="17" xfId="0" applyFont="1" applyBorder="1" applyAlignment="1">
      <alignment wrapText="1"/>
    </xf>
    <xf numFmtId="0" fontId="12" fillId="0" borderId="2" xfId="0" applyFont="1" applyBorder="1" applyAlignment="1">
      <alignment wrapText="1"/>
    </xf>
    <xf numFmtId="0" fontId="12" fillId="0" borderId="2" xfId="0" applyFont="1" applyBorder="1" applyAlignment="1">
      <alignment/>
    </xf>
    <xf numFmtId="0" fontId="10" fillId="0" borderId="8" xfId="0" applyFont="1" applyBorder="1" applyAlignment="1">
      <alignment wrapText="1"/>
    </xf>
    <xf numFmtId="0" fontId="12" fillId="0" borderId="8" xfId="0" applyFont="1" applyBorder="1" applyAlignment="1">
      <alignment wrapText="1"/>
    </xf>
    <xf numFmtId="0" fontId="12" fillId="0" borderId="18" xfId="0" applyFont="1" applyBorder="1" applyAlignment="1">
      <alignment wrapText="1"/>
    </xf>
    <xf numFmtId="0" fontId="12" fillId="0" borderId="17" xfId="0" applyFont="1" applyBorder="1" applyAlignment="1">
      <alignment horizontal="right"/>
    </xf>
    <xf numFmtId="0" fontId="10" fillId="0" borderId="1" xfId="0" applyFont="1" applyBorder="1" applyAlignment="1">
      <alignment horizontal="center" wrapText="1"/>
    </xf>
    <xf numFmtId="0" fontId="12" fillId="0" borderId="6" xfId="0" applyFont="1" applyBorder="1" applyAlignment="1">
      <alignment wrapText="1"/>
    </xf>
    <xf numFmtId="0" fontId="10" fillId="0" borderId="16" xfId="0" applyFont="1" applyBorder="1" applyAlignment="1">
      <alignment/>
    </xf>
    <xf numFmtId="0" fontId="10" fillId="0" borderId="17" xfId="0" applyFont="1" applyBorder="1" applyAlignment="1">
      <alignment wrapText="1"/>
    </xf>
    <xf numFmtId="0" fontId="10" fillId="0" borderId="2" xfId="0" applyFont="1" applyBorder="1" applyAlignment="1">
      <alignment/>
    </xf>
    <xf numFmtId="0" fontId="10" fillId="0" borderId="19" xfId="0" applyFont="1" applyBorder="1" applyAlignment="1">
      <alignment horizontal="center"/>
    </xf>
    <xf numFmtId="165" fontId="10" fillId="0" borderId="3" xfId="0" applyNumberFormat="1" applyFont="1" applyBorder="1" applyAlignment="1">
      <alignment/>
    </xf>
    <xf numFmtId="0" fontId="12" fillId="0" borderId="15" xfId="0" applyFont="1" applyBorder="1" applyAlignment="1">
      <alignment/>
    </xf>
    <xf numFmtId="0" fontId="10" fillId="0" borderId="15" xfId="0" applyFont="1" applyBorder="1" applyAlignment="1">
      <alignment horizontal="right" wrapText="1"/>
    </xf>
    <xf numFmtId="0" fontId="10" fillId="0" borderId="37" xfId="0" applyFont="1" applyBorder="1" applyAlignment="1">
      <alignment/>
    </xf>
    <xf numFmtId="0" fontId="10" fillId="0" borderId="8" xfId="0" applyFont="1" applyBorder="1" applyAlignment="1">
      <alignment/>
    </xf>
    <xf numFmtId="165" fontId="10" fillId="0" borderId="8" xfId="0" applyNumberFormat="1" applyFont="1" applyBorder="1" applyAlignment="1">
      <alignment/>
    </xf>
    <xf numFmtId="0" fontId="7" fillId="0" borderId="36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4" xfId="0" applyFont="1" applyBorder="1" applyAlignment="1">
      <alignment horizontal="center" wrapText="1"/>
    </xf>
    <xf numFmtId="0" fontId="9" fillId="0" borderId="1" xfId="0" applyFont="1" applyBorder="1" applyAlignment="1">
      <alignment/>
    </xf>
    <xf numFmtId="0" fontId="9" fillId="0" borderId="1" xfId="0" applyFont="1" applyBorder="1" applyAlignment="1">
      <alignment horizontal="center" wrapText="1"/>
    </xf>
    <xf numFmtId="41" fontId="9" fillId="0" borderId="1" xfId="0" applyNumberFormat="1" applyFont="1" applyBorder="1" applyAlignment="1">
      <alignment horizontal="center" wrapText="1"/>
    </xf>
    <xf numFmtId="0" fontId="4" fillId="0" borderId="33" xfId="0" applyFont="1" applyBorder="1" applyAlignment="1">
      <alignment horizontal="center"/>
    </xf>
    <xf numFmtId="0" fontId="10" fillId="0" borderId="20" xfId="0" applyFont="1" applyBorder="1" applyAlignment="1">
      <alignment/>
    </xf>
    <xf numFmtId="0" fontId="12" fillId="0" borderId="36" xfId="0" applyFont="1" applyBorder="1" applyAlignment="1">
      <alignment/>
    </xf>
    <xf numFmtId="0" fontId="12" fillId="0" borderId="39" xfId="0" applyFont="1" applyBorder="1" applyAlignment="1">
      <alignment/>
    </xf>
    <xf numFmtId="0" fontId="12" fillId="0" borderId="56" xfId="0" applyFont="1" applyBorder="1" applyAlignment="1">
      <alignment/>
    </xf>
    <xf numFmtId="0" fontId="10" fillId="0" borderId="32" xfId="0" applyNumberFormat="1" applyFont="1" applyBorder="1" applyAlignment="1">
      <alignment/>
    </xf>
    <xf numFmtId="10" fontId="12" fillId="0" borderId="0" xfId="0" applyNumberFormat="1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" xfId="0" applyFont="1" applyFill="1" applyBorder="1" applyAlignment="1">
      <alignment/>
    </xf>
    <xf numFmtId="0" fontId="12" fillId="0" borderId="16" xfId="0" applyFont="1" applyBorder="1" applyAlignment="1">
      <alignment/>
    </xf>
    <xf numFmtId="0" fontId="12" fillId="0" borderId="35" xfId="0" applyFont="1" applyBorder="1" applyAlignment="1">
      <alignment/>
    </xf>
    <xf numFmtId="0" fontId="12" fillId="0" borderId="38" xfId="0" applyFont="1" applyBorder="1" applyAlignment="1">
      <alignment/>
    </xf>
    <xf numFmtId="0" fontId="4" fillId="0" borderId="32" xfId="0" applyFont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12" fillId="0" borderId="58" xfId="0" applyFont="1" applyBorder="1" applyAlignment="1">
      <alignment/>
    </xf>
    <xf numFmtId="0" fontId="10" fillId="0" borderId="46" xfId="0" applyFont="1" applyBorder="1" applyAlignment="1">
      <alignment/>
    </xf>
    <xf numFmtId="0" fontId="12" fillId="0" borderId="11" xfId="0" applyFont="1" applyBorder="1" applyAlignment="1">
      <alignment/>
    </xf>
    <xf numFmtId="10" fontId="12" fillId="0" borderId="6" xfId="0" applyNumberFormat="1" applyFont="1" applyBorder="1" applyAlignment="1">
      <alignment/>
    </xf>
    <xf numFmtId="10" fontId="12" fillId="0" borderId="2" xfId="0" applyNumberFormat="1" applyFont="1" applyBorder="1" applyAlignment="1">
      <alignment/>
    </xf>
    <xf numFmtId="0" fontId="0" fillId="0" borderId="58" xfId="0" applyBorder="1" applyAlignment="1">
      <alignment wrapText="1"/>
    </xf>
    <xf numFmtId="0" fontId="0" fillId="0" borderId="59" xfId="0" applyBorder="1" applyAlignment="1">
      <alignment/>
    </xf>
    <xf numFmtId="0" fontId="12" fillId="0" borderId="59" xfId="0" applyFont="1" applyBorder="1" applyAlignment="1">
      <alignment/>
    </xf>
    <xf numFmtId="0" fontId="12" fillId="0" borderId="20" xfId="0" applyFont="1" applyBorder="1" applyAlignment="1">
      <alignment/>
    </xf>
    <xf numFmtId="10" fontId="12" fillId="0" borderId="1" xfId="0" applyNumberFormat="1" applyFont="1" applyBorder="1" applyAlignment="1">
      <alignment/>
    </xf>
    <xf numFmtId="0" fontId="4" fillId="2" borderId="1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60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4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/>
    </xf>
    <xf numFmtId="49" fontId="4" fillId="0" borderId="6" xfId="0" applyNumberFormat="1" applyFont="1" applyBorder="1" applyAlignment="1">
      <alignment horizontal="right"/>
    </xf>
    <xf numFmtId="0" fontId="4" fillId="0" borderId="6" xfId="0" applyFont="1" applyBorder="1" applyAlignment="1">
      <alignment/>
    </xf>
    <xf numFmtId="41" fontId="4" fillId="0" borderId="6" xfId="0" applyNumberFormat="1" applyFont="1" applyBorder="1" applyAlignment="1">
      <alignment horizontal="right"/>
    </xf>
    <xf numFmtId="0" fontId="0" fillId="0" borderId="7" xfId="0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4" fillId="0" borderId="43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 wrapText="1"/>
    </xf>
    <xf numFmtId="0" fontId="4" fillId="2" borderId="45" xfId="0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/>
    </xf>
    <xf numFmtId="0" fontId="4" fillId="2" borderId="45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2" borderId="45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4" fillId="2" borderId="55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4" fillId="0" borderId="29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 vertical="center" wrapText="1"/>
    </xf>
    <xf numFmtId="0" fontId="10" fillId="0" borderId="53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/>
    </xf>
    <xf numFmtId="0" fontId="0" fillId="0" borderId="0" xfId="0" applyFont="1" applyAlignment="1">
      <alignment horizontal="center"/>
    </xf>
    <xf numFmtId="49" fontId="0" fillId="0" borderId="16" xfId="0" applyNumberFormat="1" applyBorder="1" applyAlignment="1">
      <alignment horizontal="left" wrapText="1"/>
    </xf>
    <xf numFmtId="49" fontId="0" fillId="0" borderId="40" xfId="0" applyNumberFormat="1" applyBorder="1" applyAlignment="1">
      <alignment horizontal="left" wrapText="1"/>
    </xf>
    <xf numFmtId="49" fontId="0" fillId="0" borderId="18" xfId="0" applyNumberFormat="1" applyBorder="1" applyAlignment="1">
      <alignment horizontal="left" wrapText="1"/>
    </xf>
    <xf numFmtId="0" fontId="4" fillId="0" borderId="1" xfId="0" applyFont="1" applyBorder="1" applyAlignment="1">
      <alignment horizontal="left" vertical="center" wrapText="1"/>
    </xf>
    <xf numFmtId="0" fontId="4" fillId="0" borderId="31" xfId="0" applyFont="1" applyBorder="1" applyAlignment="1">
      <alignment horizontal="left" vertical="center" wrapText="1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0" xfId="0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12" fillId="0" borderId="0" xfId="0" applyFont="1" applyAlignment="1">
      <alignment horizont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63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4" fillId="2" borderId="63" xfId="0" applyFont="1" applyFill="1" applyBorder="1" applyAlignment="1">
      <alignment horizontal="center" vertical="center"/>
    </xf>
    <xf numFmtId="0" fontId="0" fillId="0" borderId="8" xfId="0" applyBorder="1" applyAlignment="1">
      <alignment horizontal="left"/>
    </xf>
    <xf numFmtId="0" fontId="0" fillId="0" borderId="1" xfId="0" applyBorder="1" applyAlignment="1">
      <alignment horizontal="left"/>
    </xf>
    <xf numFmtId="49" fontId="0" fillId="0" borderId="6" xfId="0" applyNumberFormat="1" applyBorder="1" applyAlignment="1">
      <alignment horizontal="left"/>
    </xf>
    <xf numFmtId="0" fontId="0" fillId="0" borderId="8" xfId="0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4" fillId="2" borderId="35" xfId="0" applyFont="1" applyFill="1" applyBorder="1" applyAlignment="1">
      <alignment horizontal="center" vertical="center" wrapText="1"/>
    </xf>
    <xf numFmtId="0" fontId="4" fillId="2" borderId="36" xfId="0" applyFont="1" applyFill="1" applyBorder="1" applyAlignment="1">
      <alignment horizontal="center" vertical="center" wrapText="1"/>
    </xf>
    <xf numFmtId="0" fontId="4" fillId="2" borderId="39" xfId="0" applyFont="1" applyFill="1" applyBorder="1" applyAlignment="1">
      <alignment horizontal="center" vertical="center" wrapText="1"/>
    </xf>
    <xf numFmtId="0" fontId="4" fillId="0" borderId="37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35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4" fillId="0" borderId="5" xfId="0" applyFont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45" xfId="0" applyFont="1" applyBorder="1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48" xfId="0" applyFont="1" applyBorder="1" applyAlignment="1">
      <alignment horizontal="center"/>
    </xf>
    <xf numFmtId="0" fontId="4" fillId="0" borderId="65" xfId="0" applyFont="1" applyBorder="1" applyAlignment="1">
      <alignment horizontal="center" wrapText="1"/>
    </xf>
    <xf numFmtId="0" fontId="4" fillId="0" borderId="62" xfId="0" applyFont="1" applyBorder="1" applyAlignment="1">
      <alignment horizont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left"/>
    </xf>
    <xf numFmtId="0" fontId="5" fillId="0" borderId="15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4" fillId="0" borderId="63" xfId="0" applyFont="1" applyBorder="1" applyAlignment="1">
      <alignment horizontal="center"/>
    </xf>
    <xf numFmtId="0" fontId="4" fillId="0" borderId="67" xfId="0" applyFont="1" applyBorder="1" applyAlignment="1">
      <alignment horizontal="center"/>
    </xf>
    <xf numFmtId="0" fontId="8" fillId="0" borderId="0" xfId="0" applyFont="1" applyBorder="1" applyAlignment="1">
      <alignment horizontal="center" wrapText="1"/>
    </xf>
    <xf numFmtId="0" fontId="0" fillId="0" borderId="0" xfId="0" applyAlignment="1">
      <alignment horizontal="center" vertical="top" wrapText="1"/>
    </xf>
    <xf numFmtId="0" fontId="12" fillId="0" borderId="0" xfId="0" applyFont="1" applyAlignment="1">
      <alignment horizontal="left" vertical="top" wrapText="1"/>
    </xf>
    <xf numFmtId="0" fontId="4" fillId="0" borderId="31" xfId="0" applyFont="1" applyBorder="1" applyAlignment="1">
      <alignment horizontal="left" wrapText="1"/>
    </xf>
    <xf numFmtId="0" fontId="5" fillId="0" borderId="0" xfId="0" applyFont="1" applyAlignment="1">
      <alignment horizontal="left"/>
    </xf>
    <xf numFmtId="0" fontId="4" fillId="2" borderId="49" xfId="0" applyFont="1" applyFill="1" applyBorder="1" applyAlignment="1">
      <alignment horizontal="center" wrapText="1"/>
    </xf>
    <xf numFmtId="0" fontId="4" fillId="2" borderId="50" xfId="0" applyFont="1" applyFill="1" applyBorder="1" applyAlignment="1">
      <alignment horizontal="center" wrapText="1"/>
    </xf>
    <xf numFmtId="0" fontId="4" fillId="2" borderId="58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35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wrapText="1"/>
    </xf>
    <xf numFmtId="0" fontId="4" fillId="0" borderId="2" xfId="0" applyFont="1" applyBorder="1" applyAlignment="1">
      <alignment horizontal="center" wrapText="1"/>
    </xf>
    <xf numFmtId="0" fontId="4" fillId="0" borderId="4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4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center" wrapText="1"/>
    </xf>
    <xf numFmtId="0" fontId="4" fillId="0" borderId="46" xfId="0" applyFont="1" applyBorder="1" applyAlignment="1">
      <alignment horizontal="center"/>
    </xf>
    <xf numFmtId="0" fontId="4" fillId="0" borderId="42" xfId="0" applyFont="1" applyBorder="1" applyAlignment="1">
      <alignment horizontal="center"/>
    </xf>
    <xf numFmtId="0" fontId="4" fillId="0" borderId="68" xfId="0" applyFont="1" applyBorder="1" applyAlignment="1">
      <alignment horizontal="center"/>
    </xf>
    <xf numFmtId="0" fontId="0" fillId="0" borderId="0" xfId="0" applyFont="1" applyAlignment="1">
      <alignment horizontal="center" shrinkToFit="1"/>
    </xf>
    <xf numFmtId="0" fontId="8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0" xfId="0" applyFont="1" applyAlignment="1">
      <alignment horizontal="center" wrapText="1" shrinkToFit="1"/>
    </xf>
    <xf numFmtId="0" fontId="13" fillId="0" borderId="13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15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/>
    </xf>
    <xf numFmtId="0" fontId="0" fillId="0" borderId="42" xfId="0" applyBorder="1" applyAlignment="1">
      <alignment horizontal="center" vertical="center" wrapText="1"/>
    </xf>
    <xf numFmtId="0" fontId="0" fillId="0" borderId="68" xfId="0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0" fillId="0" borderId="9" xfId="0" applyFont="1" applyBorder="1" applyAlignment="1">
      <alignment horizontal="center" wrapText="1"/>
    </xf>
    <xf numFmtId="0" fontId="0" fillId="0" borderId="33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4" fillId="0" borderId="41" xfId="0" applyFont="1" applyBorder="1" applyAlignment="1">
      <alignment horizontal="center" wrapText="1"/>
    </xf>
    <xf numFmtId="0" fontId="4" fillId="0" borderId="69" xfId="0" applyFont="1" applyBorder="1" applyAlignment="1">
      <alignment horizontal="center" wrapText="1"/>
    </xf>
    <xf numFmtId="0" fontId="4" fillId="0" borderId="63" xfId="0" applyFont="1" applyBorder="1" applyAlignment="1">
      <alignment horizontal="center" wrapText="1"/>
    </xf>
    <xf numFmtId="0" fontId="4" fillId="0" borderId="70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0" borderId="32" xfId="0" applyFont="1" applyBorder="1" applyAlignment="1">
      <alignment horizontal="center" wrapText="1"/>
    </xf>
    <xf numFmtId="0" fontId="5" fillId="0" borderId="0" xfId="0" applyFont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4" fillId="0" borderId="15" xfId="0" applyFont="1" applyBorder="1" applyAlignment="1">
      <alignment horizontal="center"/>
    </xf>
    <xf numFmtId="0" fontId="0" fillId="0" borderId="15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4" fillId="0" borderId="46" xfId="0" applyFont="1" applyBorder="1" applyAlignment="1">
      <alignment horizontal="center" wrapText="1"/>
    </xf>
    <xf numFmtId="0" fontId="4" fillId="0" borderId="68" xfId="0" applyFont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workbookViewId="0" topLeftCell="A1">
      <selection activeCell="D1" sqref="D1"/>
    </sheetView>
  </sheetViews>
  <sheetFormatPr defaultColWidth="9.00390625" defaultRowHeight="12.75"/>
  <cols>
    <col min="1" max="1" width="44.25390625" style="0" customWidth="1"/>
    <col min="2" max="2" width="21.125" style="0" customWidth="1"/>
    <col min="3" max="3" width="15.75390625" style="0" customWidth="1"/>
  </cols>
  <sheetData>
    <row r="1" spans="2:3" ht="54" customHeight="1">
      <c r="B1" s="527" t="s">
        <v>861</v>
      </c>
      <c r="C1" s="527"/>
    </row>
    <row r="2" spans="1:3" ht="32.25" customHeight="1">
      <c r="A2" s="529" t="s">
        <v>741</v>
      </c>
      <c r="B2" s="529"/>
      <c r="C2" s="529"/>
    </row>
    <row r="3" spans="1:3" ht="18.75" customHeight="1">
      <c r="A3" s="528" t="s">
        <v>26</v>
      </c>
      <c r="B3" s="528" t="s">
        <v>685</v>
      </c>
      <c r="C3" s="530" t="s">
        <v>664</v>
      </c>
    </row>
    <row r="4" spans="1:3" ht="25.5" customHeight="1">
      <c r="A4" s="528"/>
      <c r="B4" s="528"/>
      <c r="C4" s="531"/>
    </row>
    <row r="5" spans="1:3" ht="14.25" customHeight="1">
      <c r="A5" s="6">
        <v>1</v>
      </c>
      <c r="B5" s="6">
        <v>3</v>
      </c>
      <c r="C5" s="6">
        <v>6</v>
      </c>
    </row>
    <row r="6" spans="1:3" ht="35.25" customHeight="1">
      <c r="A6" s="7" t="s">
        <v>671</v>
      </c>
      <c r="B6" s="8">
        <v>141331</v>
      </c>
      <c r="C6" s="9">
        <f>B6/B21</f>
        <v>0.0061551997394565456</v>
      </c>
    </row>
    <row r="7" spans="1:3" ht="22.5" customHeight="1">
      <c r="A7" s="10" t="s">
        <v>672</v>
      </c>
      <c r="B7" s="8">
        <f>B8+B9</f>
        <v>434446</v>
      </c>
      <c r="C7" s="9">
        <f>B7/B21</f>
        <v>0.018920844726266272</v>
      </c>
    </row>
    <row r="8" spans="1:3" ht="19.5" customHeight="1">
      <c r="A8" s="11" t="s">
        <v>673</v>
      </c>
      <c r="B8" s="8">
        <v>425245</v>
      </c>
      <c r="C8" s="9">
        <f>B8/B21</f>
        <v>0.018520125897398296</v>
      </c>
    </row>
    <row r="9" spans="1:3" ht="21" customHeight="1">
      <c r="A9" s="11" t="s">
        <v>674</v>
      </c>
      <c r="B9" s="8">
        <v>9201</v>
      </c>
      <c r="C9" s="9">
        <f>B9/B21</f>
        <v>0.0004007188288679743</v>
      </c>
    </row>
    <row r="10" spans="1:3" ht="27.75" customHeight="1">
      <c r="A10" s="7" t="s">
        <v>675</v>
      </c>
      <c r="B10" s="8">
        <v>812592</v>
      </c>
      <c r="C10" s="9">
        <f>B10/B21</f>
        <v>0.03538973096266547</v>
      </c>
    </row>
    <row r="11" spans="1:3" ht="21.75" customHeight="1">
      <c r="A11" s="10" t="s">
        <v>676</v>
      </c>
      <c r="B11" s="8">
        <v>597036</v>
      </c>
      <c r="C11" s="9">
        <f>B11/B21</f>
        <v>0.026001909217695893</v>
      </c>
    </row>
    <row r="12" spans="1:3" ht="20.25" customHeight="1">
      <c r="A12" s="10" t="s">
        <v>677</v>
      </c>
      <c r="B12" s="12">
        <f>B11+B10+B6+B7</f>
        <v>1985405</v>
      </c>
      <c r="C12" s="13">
        <f>B12/B21</f>
        <v>0.08646768464608418</v>
      </c>
    </row>
    <row r="13" spans="1:3" ht="19.5" customHeight="1">
      <c r="A13" s="10" t="s">
        <v>678</v>
      </c>
      <c r="B13" s="12">
        <v>13888675</v>
      </c>
      <c r="C13" s="13">
        <f>B13/B21</f>
        <v>0.6048748593118045</v>
      </c>
    </row>
    <row r="14" spans="1:3" ht="21.75" customHeight="1">
      <c r="A14" s="10" t="s">
        <v>679</v>
      </c>
      <c r="B14" s="12">
        <f>B15+B16+B17+B19+B18</f>
        <v>7087157</v>
      </c>
      <c r="C14" s="13">
        <f>B14/B21</f>
        <v>0.3086574560421113</v>
      </c>
    </row>
    <row r="15" spans="1:3" ht="25.5">
      <c r="A15" s="14" t="s">
        <v>680</v>
      </c>
      <c r="B15" s="8">
        <v>1862941</v>
      </c>
      <c r="C15" s="9">
        <f>B15/B21</f>
        <v>0.08113417408652679</v>
      </c>
    </row>
    <row r="16" spans="1:3" ht="38.25">
      <c r="A16" s="14" t="s">
        <v>681</v>
      </c>
      <c r="B16" s="8">
        <v>3101926</v>
      </c>
      <c r="C16" s="9">
        <f>B16/B21</f>
        <v>0.13509402825292036</v>
      </c>
    </row>
    <row r="17" spans="1:3" ht="42.75" customHeight="1">
      <c r="A17" s="14" t="s">
        <v>758</v>
      </c>
      <c r="B17" s="8">
        <v>1612290</v>
      </c>
      <c r="C17" s="9">
        <f>B17/B21</f>
        <v>0.07021790681399265</v>
      </c>
    </row>
    <row r="18" spans="1:3" ht="33.75" customHeight="1" hidden="1">
      <c r="A18" s="14" t="s">
        <v>686</v>
      </c>
      <c r="B18" s="8">
        <v>0</v>
      </c>
      <c r="C18" s="9">
        <f>B18/B21</f>
        <v>0</v>
      </c>
    </row>
    <row r="19" spans="1:3" ht="22.5" customHeight="1">
      <c r="A19" s="15" t="s">
        <v>682</v>
      </c>
      <c r="B19" s="8">
        <v>510000</v>
      </c>
      <c r="C19" s="9">
        <f>B19/B21</f>
        <v>0.022211346888671546</v>
      </c>
    </row>
    <row r="20" spans="1:3" ht="24" customHeight="1">
      <c r="A20" s="10" t="s">
        <v>683</v>
      </c>
      <c r="B20" s="12">
        <f>B13+B14</f>
        <v>20975832</v>
      </c>
      <c r="C20" s="13">
        <f>B20/B21</f>
        <v>0.9135323153539158</v>
      </c>
    </row>
    <row r="21" spans="1:3" ht="30" customHeight="1">
      <c r="A21" s="345" t="s">
        <v>684</v>
      </c>
      <c r="B21" s="12">
        <f>B12+B20</f>
        <v>22961237</v>
      </c>
      <c r="C21" s="13">
        <f>B21/B21</f>
        <v>1</v>
      </c>
    </row>
    <row r="23" ht="12.75">
      <c r="A23" t="s">
        <v>832</v>
      </c>
    </row>
  </sheetData>
  <mergeCells count="5">
    <mergeCell ref="B1:C1"/>
    <mergeCell ref="A3:A4"/>
    <mergeCell ref="A2:C2"/>
    <mergeCell ref="C3:C4"/>
    <mergeCell ref="B3:B4"/>
  </mergeCells>
  <printOptions/>
  <pageMargins left="0.7874015748031497" right="0.7874015748031497" top="0.984251968503937" bottom="0.984251968503937" header="0.5118110236220472" footer="0.5118110236220472"/>
  <pageSetup horizontalDpi="360" verticalDpi="360" orientation="portrait" paperSize="9" r:id="rId1"/>
  <headerFooter alignWithMargins="0">
    <oddFooter>&amp;CStrona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26"/>
  <sheetViews>
    <sheetView workbookViewId="0" topLeftCell="A1">
      <selection activeCell="G26" sqref="G26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536"/>
      <c r="F1" s="536"/>
      <c r="G1" s="536"/>
      <c r="H1" s="536"/>
      <c r="I1" s="536"/>
      <c r="J1" s="536"/>
      <c r="K1" s="536"/>
    </row>
    <row r="2" spans="3:11" ht="21" customHeight="1">
      <c r="C2" s="613" t="s">
        <v>5</v>
      </c>
      <c r="D2" s="613"/>
      <c r="E2" s="613"/>
      <c r="F2" s="613"/>
      <c r="G2" s="613"/>
      <c r="H2" s="613"/>
      <c r="I2" s="613"/>
      <c r="J2" s="613"/>
      <c r="K2" s="613"/>
    </row>
    <row r="3" spans="3:11" ht="12.75">
      <c r="C3" s="613"/>
      <c r="D3" s="613"/>
      <c r="E3" s="613"/>
      <c r="F3" s="613"/>
      <c r="G3" s="613"/>
      <c r="H3" s="613"/>
      <c r="I3" s="613"/>
      <c r="J3" s="613"/>
      <c r="K3" s="613"/>
    </row>
    <row r="4" spans="1:11" ht="28.5" customHeight="1">
      <c r="A4" s="614" t="s">
        <v>843</v>
      </c>
      <c r="B4" s="614"/>
      <c r="C4" s="614"/>
      <c r="D4" s="614"/>
      <c r="E4" s="614"/>
      <c r="F4" s="614"/>
      <c r="G4" s="614"/>
      <c r="H4" s="614"/>
      <c r="I4" s="614"/>
      <c r="J4" s="614"/>
      <c r="K4" s="614"/>
    </row>
    <row r="5" spans="1:11" ht="12.75">
      <c r="A5" s="41"/>
      <c r="B5" s="41"/>
      <c r="C5" s="41"/>
      <c r="D5" s="41"/>
      <c r="E5" s="41"/>
      <c r="F5" s="41"/>
      <c r="G5" s="41"/>
      <c r="H5" s="41"/>
      <c r="I5" s="41"/>
      <c r="J5" s="41"/>
      <c r="K5" s="41"/>
    </row>
    <row r="6" spans="1:11" ht="39" customHeight="1">
      <c r="A6" s="530" t="s">
        <v>615</v>
      </c>
      <c r="B6" s="530" t="s">
        <v>606</v>
      </c>
      <c r="C6" s="619" t="s">
        <v>844</v>
      </c>
      <c r="D6" s="620"/>
      <c r="E6" s="615" t="s">
        <v>364</v>
      </c>
      <c r="F6" s="616"/>
      <c r="G6" s="619" t="s">
        <v>845</v>
      </c>
      <c r="H6" s="620"/>
      <c r="I6" s="313"/>
      <c r="J6" s="313"/>
      <c r="K6" s="543" t="s">
        <v>846</v>
      </c>
    </row>
    <row r="7" spans="1:11" ht="37.5" customHeight="1">
      <c r="A7" s="531"/>
      <c r="B7" s="531"/>
      <c r="C7" s="621"/>
      <c r="D7" s="622"/>
      <c r="E7" s="617"/>
      <c r="F7" s="618"/>
      <c r="G7" s="621"/>
      <c r="H7" s="622"/>
      <c r="I7" s="315"/>
      <c r="J7" s="315"/>
      <c r="K7" s="543"/>
    </row>
    <row r="8" spans="1:11" ht="14.25" customHeight="1">
      <c r="A8" s="311">
        <v>1</v>
      </c>
      <c r="B8" s="311">
        <v>2</v>
      </c>
      <c r="C8" s="314">
        <v>3</v>
      </c>
      <c r="D8" s="315"/>
      <c r="E8" s="316">
        <v>4</v>
      </c>
      <c r="F8" s="317"/>
      <c r="G8" s="2">
        <v>7</v>
      </c>
      <c r="H8" s="2"/>
      <c r="I8" s="2"/>
      <c r="J8" s="2"/>
      <c r="K8" s="147">
        <v>10</v>
      </c>
    </row>
    <row r="9" spans="1:11" ht="38.25">
      <c r="A9" s="10" t="s">
        <v>385</v>
      </c>
      <c r="B9" s="7" t="s">
        <v>847</v>
      </c>
      <c r="C9" s="10">
        <f>C10+C11+C14+C16+C18+C20</f>
        <v>66474</v>
      </c>
      <c r="D9" s="10">
        <f>D10+D11+D12+D13+D14+D15+D16+D17+D18+D19+D20+D21+D22</f>
        <v>18301</v>
      </c>
      <c r="E9" s="10">
        <f>E10+E11+E14+E16+E18+E20</f>
        <v>411300</v>
      </c>
      <c r="F9" s="10">
        <f>F10+F11+F12+F13+F14+F15+F16+F17+F18+F19+F20+F21+F22</f>
        <v>419470</v>
      </c>
      <c r="G9" s="10">
        <f>G10+G11+G14+G16+G18+G20</f>
        <v>427074</v>
      </c>
      <c r="H9" s="10">
        <f>H10+H11+H12+H13+H14+H15+H16+H17+H18+H19+H20+H21+H22</f>
        <v>424812</v>
      </c>
      <c r="I9" s="10"/>
      <c r="J9" s="10"/>
      <c r="K9" s="10">
        <f>K10+K11+K14+K16+K18+K20</f>
        <v>50700</v>
      </c>
    </row>
    <row r="10" spans="1:11" ht="25.5">
      <c r="A10" s="11" t="s">
        <v>393</v>
      </c>
      <c r="B10" s="14" t="s">
        <v>765</v>
      </c>
      <c r="C10" s="11">
        <v>0</v>
      </c>
      <c r="D10" s="11">
        <v>5558</v>
      </c>
      <c r="E10" s="11">
        <v>180100</v>
      </c>
      <c r="F10" s="11">
        <v>182220</v>
      </c>
      <c r="G10" s="11">
        <v>177600</v>
      </c>
      <c r="H10" s="11">
        <v>181928</v>
      </c>
      <c r="I10" s="11"/>
      <c r="J10" s="11"/>
      <c r="K10" s="11">
        <f>C10+E10-G10</f>
        <v>2500</v>
      </c>
    </row>
    <row r="11" spans="1:11" ht="25.5">
      <c r="A11" s="11" t="s">
        <v>395</v>
      </c>
      <c r="B11" s="14" t="s">
        <v>443</v>
      </c>
      <c r="C11" s="11">
        <v>6988</v>
      </c>
      <c r="D11" s="11">
        <v>2200</v>
      </c>
      <c r="E11" s="11">
        <v>90090</v>
      </c>
      <c r="F11" s="11">
        <v>99450</v>
      </c>
      <c r="G11" s="11">
        <v>90090</v>
      </c>
      <c r="H11" s="11">
        <v>100550</v>
      </c>
      <c r="I11" s="11"/>
      <c r="J11" s="11"/>
      <c r="K11" s="11">
        <f>C11+E11-G11</f>
        <v>6988</v>
      </c>
    </row>
    <row r="12" spans="1:11" ht="25.5" hidden="1">
      <c r="A12" s="11" t="s">
        <v>397</v>
      </c>
      <c r="B12" s="14" t="s">
        <v>616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/>
      <c r="J12" s="11"/>
      <c r="K12" s="11">
        <v>0</v>
      </c>
    </row>
    <row r="13" spans="1:11" ht="25.5" hidden="1">
      <c r="A13" s="11" t="s">
        <v>400</v>
      </c>
      <c r="B13" s="14" t="s">
        <v>617</v>
      </c>
      <c r="C13" s="11">
        <v>0</v>
      </c>
      <c r="D13" s="11">
        <v>0</v>
      </c>
      <c r="E13" s="11">
        <v>0</v>
      </c>
      <c r="F13" s="11">
        <v>0</v>
      </c>
      <c r="G13" s="11">
        <v>0</v>
      </c>
      <c r="H13" s="11">
        <v>0</v>
      </c>
      <c r="I13" s="11"/>
      <c r="J13" s="11"/>
      <c r="K13" s="11">
        <v>0</v>
      </c>
    </row>
    <row r="14" spans="1:11" ht="25.5">
      <c r="A14" s="11" t="s">
        <v>397</v>
      </c>
      <c r="B14" s="14" t="s">
        <v>618</v>
      </c>
      <c r="C14" s="11">
        <v>4235</v>
      </c>
      <c r="D14" s="11">
        <v>6009</v>
      </c>
      <c r="E14" s="11">
        <v>112700</v>
      </c>
      <c r="F14" s="11">
        <v>101000</v>
      </c>
      <c r="G14" s="11">
        <v>112700</v>
      </c>
      <c r="H14" s="11">
        <v>101000</v>
      </c>
      <c r="I14" s="11"/>
      <c r="J14" s="11"/>
      <c r="K14" s="11">
        <f>C14+E14-G14</f>
        <v>4235</v>
      </c>
    </row>
    <row r="15" spans="1:11" ht="25.5" hidden="1">
      <c r="A15" s="11" t="s">
        <v>438</v>
      </c>
      <c r="B15" s="14" t="s">
        <v>619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/>
      <c r="J15" s="11"/>
      <c r="K15" s="11">
        <v>0</v>
      </c>
    </row>
    <row r="16" spans="1:11" ht="38.25" customHeight="1">
      <c r="A16" s="11" t="s">
        <v>400</v>
      </c>
      <c r="B16" s="14" t="s">
        <v>620</v>
      </c>
      <c r="C16" s="11">
        <v>483</v>
      </c>
      <c r="D16" s="11">
        <v>0</v>
      </c>
      <c r="E16" s="11">
        <v>1010</v>
      </c>
      <c r="F16" s="11">
        <v>8100</v>
      </c>
      <c r="G16" s="11">
        <v>1010</v>
      </c>
      <c r="H16" s="11">
        <v>8100</v>
      </c>
      <c r="I16" s="11"/>
      <c r="J16" s="11"/>
      <c r="K16" s="11">
        <f>C16+E16-G16</f>
        <v>483</v>
      </c>
    </row>
    <row r="17" spans="1:11" ht="12.75" hidden="1">
      <c r="A17" s="11" t="s">
        <v>408</v>
      </c>
      <c r="B17" s="14" t="s">
        <v>621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/>
      <c r="J17" s="11"/>
      <c r="K17" s="11">
        <v>0</v>
      </c>
    </row>
    <row r="18" spans="1:11" ht="20.25" customHeight="1">
      <c r="A18" s="11" t="s">
        <v>403</v>
      </c>
      <c r="B18" s="14" t="s">
        <v>622</v>
      </c>
      <c r="C18" s="11">
        <v>18274</v>
      </c>
      <c r="D18" s="11">
        <v>4534</v>
      </c>
      <c r="E18" s="11">
        <v>3900</v>
      </c>
      <c r="F18" s="11">
        <v>5200</v>
      </c>
      <c r="G18" s="11">
        <v>22174</v>
      </c>
      <c r="H18" s="11">
        <v>9734</v>
      </c>
      <c r="I18" s="11"/>
      <c r="J18" s="11"/>
      <c r="K18" s="11">
        <f>C18+E18-G18</f>
        <v>0</v>
      </c>
    </row>
    <row r="19" spans="1:11" ht="27" customHeight="1" hidden="1">
      <c r="A19" s="11" t="s">
        <v>444</v>
      </c>
      <c r="B19" s="14" t="s">
        <v>623</v>
      </c>
      <c r="C19" s="11">
        <v>0</v>
      </c>
      <c r="D19" s="11">
        <v>0</v>
      </c>
      <c r="E19" s="11">
        <v>0</v>
      </c>
      <c r="F19" s="11">
        <v>0</v>
      </c>
      <c r="G19" s="11">
        <v>0</v>
      </c>
      <c r="H19" s="11">
        <v>0</v>
      </c>
      <c r="I19" s="11"/>
      <c r="J19" s="11"/>
      <c r="K19" s="11">
        <v>0</v>
      </c>
    </row>
    <row r="20" spans="1:11" ht="25.5">
      <c r="A20" s="11" t="s">
        <v>438</v>
      </c>
      <c r="B20" s="14" t="s">
        <v>445</v>
      </c>
      <c r="C20" s="11">
        <v>36494</v>
      </c>
      <c r="D20" s="11">
        <v>0</v>
      </c>
      <c r="E20" s="11">
        <v>23500</v>
      </c>
      <c r="F20" s="11">
        <v>23500</v>
      </c>
      <c r="G20" s="11">
        <v>23500</v>
      </c>
      <c r="H20" s="11">
        <v>23500</v>
      </c>
      <c r="I20" s="11"/>
      <c r="J20" s="11"/>
      <c r="K20" s="11">
        <f>C20+E20-G20</f>
        <v>36494</v>
      </c>
    </row>
    <row r="21" spans="1:11" ht="25.5" hidden="1">
      <c r="A21" s="11" t="s">
        <v>446</v>
      </c>
      <c r="B21" s="14" t="s">
        <v>624</v>
      </c>
      <c r="C21" s="11">
        <v>0</v>
      </c>
      <c r="D21" s="11">
        <v>0</v>
      </c>
      <c r="E21" s="11">
        <v>0</v>
      </c>
      <c r="F21" s="11">
        <v>0</v>
      </c>
      <c r="G21" s="11">
        <v>0</v>
      </c>
      <c r="H21" s="11">
        <v>0</v>
      </c>
      <c r="I21" s="11"/>
      <c r="J21" s="11"/>
      <c r="K21" s="11">
        <v>0</v>
      </c>
    </row>
    <row r="22" spans="1:11" ht="26.25" customHeight="1" hidden="1">
      <c r="A22" s="11" t="s">
        <v>440</v>
      </c>
      <c r="B22" s="14" t="s">
        <v>625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1">
        <f>E22-G22</f>
        <v>0</v>
      </c>
    </row>
    <row r="23" spans="1:11" ht="26.25" customHeight="1" hidden="1">
      <c r="A23" s="11" t="s">
        <v>408</v>
      </c>
      <c r="B23" s="14" t="s">
        <v>651</v>
      </c>
      <c r="C23" s="11" t="s">
        <v>711</v>
      </c>
      <c r="D23" s="11"/>
      <c r="E23" s="11">
        <v>0</v>
      </c>
      <c r="F23" s="11"/>
      <c r="G23" s="11">
        <v>0</v>
      </c>
      <c r="H23" s="11"/>
      <c r="I23" s="11"/>
      <c r="J23" s="11"/>
      <c r="K23" s="11" t="e">
        <f>C23+E23-G23</f>
        <v>#VALUE!</v>
      </c>
    </row>
    <row r="26" spans="2:5" ht="12.75">
      <c r="B26" t="s">
        <v>27</v>
      </c>
      <c r="E26" t="s">
        <v>803</v>
      </c>
    </row>
  </sheetData>
  <mergeCells count="10">
    <mergeCell ref="E1:K1"/>
    <mergeCell ref="K6:K7"/>
    <mergeCell ref="B6:B7"/>
    <mergeCell ref="C2:K2"/>
    <mergeCell ref="A4:K4"/>
    <mergeCell ref="A6:A7"/>
    <mergeCell ref="E6:F7"/>
    <mergeCell ref="G6:H7"/>
    <mergeCell ref="C6:D7"/>
    <mergeCell ref="C3:K3"/>
  </mergeCells>
  <printOptions/>
  <pageMargins left="0.5905511811023623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12"/>
  <sheetViews>
    <sheetView workbookViewId="0" topLeftCell="A1">
      <selection activeCell="C14" sqref="C14"/>
    </sheetView>
  </sheetViews>
  <sheetFormatPr defaultColWidth="9.00390625" defaultRowHeight="12.75"/>
  <cols>
    <col min="1" max="1" width="3.375" style="0" customWidth="1"/>
    <col min="2" max="2" width="21.00390625" style="0" customWidth="1"/>
    <col min="3" max="3" width="17.875" style="0" customWidth="1"/>
    <col min="4" max="4" width="8.875" style="0" hidden="1" customWidth="1"/>
    <col min="5" max="5" width="16.125" style="0" customWidth="1"/>
    <col min="6" max="6" width="10.75390625" style="0" hidden="1" customWidth="1"/>
    <col min="7" max="7" width="16.125" style="0" customWidth="1"/>
    <col min="8" max="10" width="0.12890625" style="0" hidden="1" customWidth="1"/>
    <col min="11" max="11" width="16.25390625" style="0" customWidth="1"/>
    <col min="12" max="12" width="9.00390625" style="0" customWidth="1"/>
  </cols>
  <sheetData>
    <row r="1" spans="5:11" ht="12.75">
      <c r="E1" s="536"/>
      <c r="F1" s="536"/>
      <c r="G1" s="536"/>
      <c r="H1" s="536"/>
      <c r="I1" s="536"/>
      <c r="J1" s="536"/>
      <c r="K1" s="536"/>
    </row>
    <row r="2" spans="3:11" ht="30.75" customHeight="1">
      <c r="C2" s="623" t="s">
        <v>6</v>
      </c>
      <c r="D2" s="623"/>
      <c r="E2" s="623"/>
      <c r="F2" s="623"/>
      <c r="G2" s="623"/>
      <c r="H2" s="623"/>
      <c r="I2" s="623"/>
      <c r="J2" s="623"/>
      <c r="K2" s="623"/>
    </row>
    <row r="3" spans="1:11" ht="29.25" customHeight="1">
      <c r="A3" s="614" t="s">
        <v>848</v>
      </c>
      <c r="B3" s="614"/>
      <c r="C3" s="614"/>
      <c r="D3" s="614"/>
      <c r="E3" s="614"/>
      <c r="F3" s="614"/>
      <c r="G3" s="614"/>
      <c r="H3" s="614"/>
      <c r="I3" s="614"/>
      <c r="J3" s="614"/>
      <c r="K3" s="614"/>
    </row>
    <row r="4" spans="1:11" ht="12.75">
      <c r="A4" s="41"/>
      <c r="B4" s="41"/>
      <c r="C4" s="41"/>
      <c r="D4" s="41"/>
      <c r="E4" s="41"/>
      <c r="F4" s="41"/>
      <c r="G4" s="41"/>
      <c r="H4" s="41"/>
      <c r="I4" s="41"/>
      <c r="J4" s="41"/>
      <c r="K4" s="41"/>
    </row>
    <row r="5" spans="1:11" ht="39" customHeight="1">
      <c r="A5" s="530" t="s">
        <v>615</v>
      </c>
      <c r="B5" s="530" t="s">
        <v>606</v>
      </c>
      <c r="C5" s="619" t="s">
        <v>849</v>
      </c>
      <c r="D5" s="620"/>
      <c r="E5" s="615" t="s">
        <v>612</v>
      </c>
      <c r="F5" s="616"/>
      <c r="G5" s="619" t="s">
        <v>850</v>
      </c>
      <c r="H5" s="620"/>
      <c r="I5" s="313"/>
      <c r="J5" s="313"/>
      <c r="K5" s="543" t="s">
        <v>851</v>
      </c>
    </row>
    <row r="6" spans="1:11" ht="37.5" customHeight="1">
      <c r="A6" s="531"/>
      <c r="B6" s="531"/>
      <c r="C6" s="621"/>
      <c r="D6" s="622"/>
      <c r="E6" s="617"/>
      <c r="F6" s="618"/>
      <c r="G6" s="621"/>
      <c r="H6" s="622"/>
      <c r="I6" s="315"/>
      <c r="J6" s="315"/>
      <c r="K6" s="543"/>
    </row>
    <row r="7" spans="1:11" ht="14.25" customHeight="1">
      <c r="A7" s="311">
        <v>1</v>
      </c>
      <c r="B7" s="311">
        <v>2</v>
      </c>
      <c r="C7" s="314">
        <v>3</v>
      </c>
      <c r="D7" s="315"/>
      <c r="E7" s="316">
        <v>4</v>
      </c>
      <c r="F7" s="317"/>
      <c r="G7" s="2">
        <v>7</v>
      </c>
      <c r="H7" s="2"/>
      <c r="I7" s="2"/>
      <c r="J7" s="2"/>
      <c r="K7" s="147">
        <v>10</v>
      </c>
    </row>
    <row r="8" spans="1:11" ht="45" customHeight="1">
      <c r="A8" s="10" t="s">
        <v>385</v>
      </c>
      <c r="B8" s="7" t="s">
        <v>15</v>
      </c>
      <c r="C8" s="23">
        <f aca="true" t="shared" si="0" ref="C8:H8">C9</f>
        <v>88559</v>
      </c>
      <c r="D8" s="10">
        <f t="shared" si="0"/>
        <v>853</v>
      </c>
      <c r="E8" s="10">
        <f t="shared" si="0"/>
        <v>70000</v>
      </c>
      <c r="F8" s="10">
        <f t="shared" si="0"/>
        <v>650000</v>
      </c>
      <c r="G8" s="10">
        <f t="shared" si="0"/>
        <v>158559</v>
      </c>
      <c r="H8" s="10">
        <f t="shared" si="0"/>
        <v>650000</v>
      </c>
      <c r="I8" s="10"/>
      <c r="J8" s="10"/>
      <c r="K8" s="23">
        <f>K9</f>
        <v>0</v>
      </c>
    </row>
    <row r="9" spans="1:11" ht="43.5" customHeight="1">
      <c r="A9" s="11" t="s">
        <v>393</v>
      </c>
      <c r="B9" s="14" t="s">
        <v>16</v>
      </c>
      <c r="C9" s="28">
        <v>88559</v>
      </c>
      <c r="D9" s="11">
        <v>853</v>
      </c>
      <c r="E9" s="11">
        <v>70000</v>
      </c>
      <c r="F9" s="11">
        <v>650000</v>
      </c>
      <c r="G9" s="11">
        <v>158559</v>
      </c>
      <c r="H9" s="11">
        <v>650000</v>
      </c>
      <c r="I9" s="11"/>
      <c r="J9" s="11"/>
      <c r="K9" s="28">
        <f>C9+E9-G9</f>
        <v>0</v>
      </c>
    </row>
    <row r="12" spans="2:5" ht="12.75">
      <c r="B12" t="s">
        <v>27</v>
      </c>
      <c r="E12" t="s">
        <v>803</v>
      </c>
    </row>
  </sheetData>
  <mergeCells count="9">
    <mergeCell ref="E1:K1"/>
    <mergeCell ref="K5:K6"/>
    <mergeCell ref="B5:B6"/>
    <mergeCell ref="C2:K2"/>
    <mergeCell ref="A3:K3"/>
    <mergeCell ref="A5:A6"/>
    <mergeCell ref="E5:F6"/>
    <mergeCell ref="G5:H6"/>
    <mergeCell ref="C5:D6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62"/>
  <sheetViews>
    <sheetView workbookViewId="0" topLeftCell="A1">
      <selection activeCell="C1" sqref="C1:E1"/>
    </sheetView>
  </sheetViews>
  <sheetFormatPr defaultColWidth="9.00390625" defaultRowHeight="12.75"/>
  <cols>
    <col min="1" max="1" width="6.625" style="0" customWidth="1"/>
    <col min="2" max="2" width="47.125" style="0" customWidth="1"/>
    <col min="3" max="3" width="8.75390625" style="0" customWidth="1"/>
    <col min="4" max="4" width="12.25390625" style="0" customWidth="1"/>
    <col min="5" max="5" width="19.125" style="0" customWidth="1"/>
    <col min="6" max="6" width="9.625" style="0" bestFit="1" customWidth="1"/>
  </cols>
  <sheetData>
    <row r="1" spans="3:5" ht="33.75" customHeight="1">
      <c r="C1" s="609" t="s">
        <v>7</v>
      </c>
      <c r="D1" s="609"/>
      <c r="E1" s="609"/>
    </row>
    <row r="2" spans="1:5" ht="32.25" customHeight="1">
      <c r="A2" s="624" t="s">
        <v>702</v>
      </c>
      <c r="B2" s="624"/>
      <c r="C2" s="624"/>
      <c r="D2" s="624"/>
      <c r="E2" s="624"/>
    </row>
    <row r="3" spans="1:5" ht="22.5">
      <c r="A3" s="255" t="s">
        <v>381</v>
      </c>
      <c r="B3" s="255" t="s">
        <v>691</v>
      </c>
      <c r="C3" s="398" t="s">
        <v>789</v>
      </c>
      <c r="D3" s="255" t="s">
        <v>692</v>
      </c>
      <c r="E3" s="255" t="s">
        <v>693</v>
      </c>
    </row>
    <row r="4" spans="1:5" ht="12.75">
      <c r="A4" s="326">
        <v>1</v>
      </c>
      <c r="B4" s="326">
        <v>2</v>
      </c>
      <c r="C4" s="326">
        <v>3</v>
      </c>
      <c r="D4" s="326">
        <v>4</v>
      </c>
      <c r="E4" s="326">
        <v>5</v>
      </c>
    </row>
    <row r="5" spans="1:6" ht="22.5">
      <c r="A5" s="399" t="s">
        <v>767</v>
      </c>
      <c r="B5" s="400" t="s">
        <v>768</v>
      </c>
      <c r="C5" s="400">
        <f>C6+C8+C9+C10+C7</f>
        <v>301</v>
      </c>
      <c r="D5" s="401" t="s">
        <v>740</v>
      </c>
      <c r="E5" s="402">
        <f>E6+E8+E9+E10+E11+E7</f>
        <v>353679</v>
      </c>
      <c r="F5" s="346"/>
    </row>
    <row r="6" spans="1:6" ht="12.75">
      <c r="A6" s="403"/>
      <c r="B6" s="404" t="s">
        <v>704</v>
      </c>
      <c r="C6" s="404">
        <v>83</v>
      </c>
      <c r="D6" s="405">
        <v>80120</v>
      </c>
      <c r="E6" s="406">
        <v>72902</v>
      </c>
      <c r="F6" s="346"/>
    </row>
    <row r="7" spans="1:5" ht="12.75">
      <c r="A7" s="403"/>
      <c r="B7" s="404" t="s">
        <v>701</v>
      </c>
      <c r="C7" s="404">
        <v>13</v>
      </c>
      <c r="D7" s="405">
        <v>80120</v>
      </c>
      <c r="E7" s="406">
        <v>11418</v>
      </c>
    </row>
    <row r="8" spans="1:5" ht="12.75">
      <c r="A8" s="403"/>
      <c r="B8" s="404" t="s">
        <v>695</v>
      </c>
      <c r="C8" s="404">
        <v>34</v>
      </c>
      <c r="D8" s="405">
        <v>80130</v>
      </c>
      <c r="E8" s="406">
        <v>97583</v>
      </c>
    </row>
    <row r="9" spans="1:5" ht="12.75">
      <c r="A9" s="403"/>
      <c r="B9" s="404" t="s">
        <v>696</v>
      </c>
      <c r="C9" s="404">
        <v>46</v>
      </c>
      <c r="D9" s="405">
        <v>80130</v>
      </c>
      <c r="E9" s="406">
        <v>46209</v>
      </c>
    </row>
    <row r="10" spans="1:5" ht="12.75">
      <c r="A10" s="407"/>
      <c r="B10" s="404" t="s">
        <v>694</v>
      </c>
      <c r="C10" s="404">
        <v>125</v>
      </c>
      <c r="D10" s="405">
        <v>80130</v>
      </c>
      <c r="E10" s="406">
        <v>125567</v>
      </c>
    </row>
    <row r="11" spans="1:5" ht="12.75" hidden="1">
      <c r="A11" s="403"/>
      <c r="B11" s="408" t="s">
        <v>703</v>
      </c>
      <c r="C11" s="409">
        <v>0</v>
      </c>
      <c r="D11" s="410">
        <v>0</v>
      </c>
      <c r="E11" s="411">
        <v>0</v>
      </c>
    </row>
    <row r="12" spans="1:5" ht="23.25" customHeight="1">
      <c r="A12" s="399" t="s">
        <v>769</v>
      </c>
      <c r="B12" s="412" t="s">
        <v>778</v>
      </c>
      <c r="C12" s="413" t="s">
        <v>740</v>
      </c>
      <c r="D12" s="414" t="s">
        <v>740</v>
      </c>
      <c r="E12" s="415">
        <f>E13+E14+E15</f>
        <v>-63658</v>
      </c>
    </row>
    <row r="13" spans="1:5" ht="15.75" customHeight="1">
      <c r="A13" s="403"/>
      <c r="B13" s="416"/>
      <c r="C13" s="417"/>
      <c r="D13" s="418">
        <v>80120</v>
      </c>
      <c r="E13" s="419">
        <v>-22196</v>
      </c>
    </row>
    <row r="14" spans="1:6" ht="12" customHeight="1">
      <c r="A14" s="403"/>
      <c r="B14" s="416"/>
      <c r="C14" s="417"/>
      <c r="D14" s="418">
        <v>80130</v>
      </c>
      <c r="E14" s="419">
        <v>-15423</v>
      </c>
      <c r="F14" s="346"/>
    </row>
    <row r="15" spans="1:5" ht="14.25" customHeight="1">
      <c r="A15" s="407"/>
      <c r="B15" s="420"/>
      <c r="C15" s="421"/>
      <c r="D15" s="422" t="s">
        <v>777</v>
      </c>
      <c r="E15" s="423">
        <v>-26039</v>
      </c>
    </row>
    <row r="16" spans="1:5" ht="13.5" customHeight="1">
      <c r="A16" s="424"/>
      <c r="B16" s="400" t="s">
        <v>770</v>
      </c>
      <c r="C16" s="425" t="s">
        <v>740</v>
      </c>
      <c r="D16" s="426" t="s">
        <v>740</v>
      </c>
      <c r="E16" s="427">
        <f>E5+E12</f>
        <v>290021</v>
      </c>
    </row>
    <row r="17" spans="1:5" ht="16.5" customHeight="1">
      <c r="A17" s="428" t="s">
        <v>771</v>
      </c>
      <c r="B17" s="429" t="s">
        <v>833</v>
      </c>
      <c r="C17" s="424">
        <f>C18+C20+C21+C19</f>
        <v>261</v>
      </c>
      <c r="D17" s="426" t="s">
        <v>740</v>
      </c>
      <c r="E17" s="427">
        <f>E18+E20+E21+E19</f>
        <v>283178</v>
      </c>
    </row>
    <row r="18" spans="1:5" ht="24" customHeight="1">
      <c r="A18" s="403"/>
      <c r="B18" s="404" t="s">
        <v>705</v>
      </c>
      <c r="C18" s="404">
        <v>77</v>
      </c>
      <c r="D18" s="405">
        <v>80120</v>
      </c>
      <c r="E18" s="406">
        <v>67632</v>
      </c>
    </row>
    <row r="19" spans="1:5" ht="15" customHeight="1">
      <c r="A19" s="403"/>
      <c r="B19" s="404" t="s">
        <v>704</v>
      </c>
      <c r="C19" s="404">
        <v>141</v>
      </c>
      <c r="D19" s="405">
        <v>80120</v>
      </c>
      <c r="E19" s="406">
        <v>123846</v>
      </c>
    </row>
    <row r="20" spans="1:5" ht="12.75">
      <c r="A20" s="403"/>
      <c r="B20" s="404" t="s">
        <v>697</v>
      </c>
      <c r="C20" s="404">
        <v>26</v>
      </c>
      <c r="D20" s="405">
        <v>80130</v>
      </c>
      <c r="E20" s="406">
        <v>74623</v>
      </c>
    </row>
    <row r="21" spans="1:5" ht="12.75">
      <c r="A21" s="407"/>
      <c r="B21" s="404" t="s">
        <v>710</v>
      </c>
      <c r="C21" s="404">
        <v>17</v>
      </c>
      <c r="D21" s="405">
        <v>80130</v>
      </c>
      <c r="E21" s="406">
        <v>17077</v>
      </c>
    </row>
    <row r="22" spans="1:5" ht="12.75" hidden="1">
      <c r="A22" s="410" t="s">
        <v>400</v>
      </c>
      <c r="B22" s="400" t="s">
        <v>698</v>
      </c>
      <c r="C22" s="430">
        <f>C23</f>
        <v>0</v>
      </c>
      <c r="D22" s="430"/>
      <c r="E22" s="402">
        <f>E23</f>
        <v>0</v>
      </c>
    </row>
    <row r="23" spans="1:5" ht="24" customHeight="1" hidden="1">
      <c r="A23" s="407"/>
      <c r="B23" s="408" t="s">
        <v>699</v>
      </c>
      <c r="C23" s="408">
        <v>0</v>
      </c>
      <c r="D23" s="410">
        <v>0</v>
      </c>
      <c r="E23" s="411">
        <v>0</v>
      </c>
    </row>
    <row r="24" spans="1:5" ht="24" customHeight="1">
      <c r="A24" s="431" t="s">
        <v>779</v>
      </c>
      <c r="B24" s="412" t="s">
        <v>778</v>
      </c>
      <c r="C24" s="413" t="s">
        <v>740</v>
      </c>
      <c r="D24" s="414" t="s">
        <v>740</v>
      </c>
      <c r="E24" s="432">
        <f>E25+E26</f>
        <v>-13721</v>
      </c>
    </row>
    <row r="25" spans="1:5" ht="15" customHeight="1">
      <c r="A25" s="418"/>
      <c r="B25" s="433"/>
      <c r="C25" s="433"/>
      <c r="D25" s="418">
        <v>80120</v>
      </c>
      <c r="E25" s="419">
        <v>-20035</v>
      </c>
    </row>
    <row r="26" spans="1:5" ht="14.25" customHeight="1">
      <c r="A26" s="418"/>
      <c r="B26" s="434"/>
      <c r="C26" s="434"/>
      <c r="D26" s="435">
        <v>80130</v>
      </c>
      <c r="E26" s="423">
        <v>6314</v>
      </c>
    </row>
    <row r="27" spans="1:5" ht="24" customHeight="1">
      <c r="A27" s="399"/>
      <c r="B27" s="429" t="s">
        <v>780</v>
      </c>
      <c r="C27" s="425" t="s">
        <v>740</v>
      </c>
      <c r="D27" s="426" t="s">
        <v>740</v>
      </c>
      <c r="E27" s="427">
        <f>E17+E24</f>
        <v>269457</v>
      </c>
    </row>
    <row r="28" spans="1:6" ht="25.5" customHeight="1">
      <c r="A28" s="399" t="s">
        <v>772</v>
      </c>
      <c r="B28" s="436" t="s">
        <v>782</v>
      </c>
      <c r="C28" s="430">
        <f>C29+C30+C31+C32</f>
        <v>39</v>
      </c>
      <c r="D28" s="401" t="s">
        <v>740</v>
      </c>
      <c r="E28" s="402">
        <f>E29+E30+E31+E32</f>
        <v>355757</v>
      </c>
      <c r="F28" s="346"/>
    </row>
    <row r="29" spans="1:5" ht="12.75">
      <c r="A29" s="403"/>
      <c r="B29" s="437" t="s">
        <v>790</v>
      </c>
      <c r="C29" s="404">
        <v>5</v>
      </c>
      <c r="D29" s="405">
        <v>80104</v>
      </c>
      <c r="E29" s="406">
        <v>48075</v>
      </c>
    </row>
    <row r="30" spans="1:5" ht="12.75">
      <c r="A30" s="403"/>
      <c r="B30" s="437" t="s">
        <v>709</v>
      </c>
      <c r="C30" s="404">
        <v>18</v>
      </c>
      <c r="D30" s="405">
        <v>80102</v>
      </c>
      <c r="E30" s="406">
        <v>173071</v>
      </c>
    </row>
    <row r="31" spans="1:5" ht="12.75">
      <c r="A31" s="403"/>
      <c r="B31" s="437" t="s">
        <v>707</v>
      </c>
      <c r="C31" s="404">
        <v>5</v>
      </c>
      <c r="D31" s="405">
        <v>80111</v>
      </c>
      <c r="E31" s="406">
        <v>48075</v>
      </c>
    </row>
    <row r="32" spans="1:5" ht="12.75">
      <c r="A32" s="407"/>
      <c r="B32" s="438" t="s">
        <v>708</v>
      </c>
      <c r="C32" s="408">
        <v>11</v>
      </c>
      <c r="D32" s="410">
        <v>80134</v>
      </c>
      <c r="E32" s="411">
        <v>86536</v>
      </c>
    </row>
    <row r="33" spans="1:5" ht="22.5">
      <c r="A33" s="431" t="s">
        <v>784</v>
      </c>
      <c r="B33" s="412" t="s">
        <v>778</v>
      </c>
      <c r="C33" s="413" t="s">
        <v>740</v>
      </c>
      <c r="D33" s="414" t="s">
        <v>740</v>
      </c>
      <c r="E33" s="415">
        <f>E34+E35+E36</f>
        <v>29236</v>
      </c>
    </row>
    <row r="34" spans="1:5" ht="12.75">
      <c r="A34" s="418"/>
      <c r="B34" s="433"/>
      <c r="C34" s="433"/>
      <c r="D34" s="439" t="s">
        <v>816</v>
      </c>
      <c r="E34" s="419">
        <v>17906</v>
      </c>
    </row>
    <row r="35" spans="1:5" ht="12.75">
      <c r="A35" s="418"/>
      <c r="B35" s="433"/>
      <c r="C35" s="433"/>
      <c r="D35" s="418">
        <v>80102</v>
      </c>
      <c r="E35" s="419">
        <v>8346</v>
      </c>
    </row>
    <row r="36" spans="1:5" ht="15" customHeight="1">
      <c r="A36" s="435"/>
      <c r="B36" s="434"/>
      <c r="C36" s="434"/>
      <c r="D36" s="435">
        <v>80111</v>
      </c>
      <c r="E36" s="423">
        <v>2984</v>
      </c>
    </row>
    <row r="37" spans="1:5" ht="22.5">
      <c r="A37" s="430"/>
      <c r="B37" s="400" t="s">
        <v>783</v>
      </c>
      <c r="C37" s="440" t="s">
        <v>740</v>
      </c>
      <c r="D37" s="401" t="s">
        <v>740</v>
      </c>
      <c r="E37" s="402">
        <f>E28+E33</f>
        <v>384993</v>
      </c>
    </row>
    <row r="38" spans="1:5" ht="12.75" hidden="1">
      <c r="A38" s="403"/>
      <c r="B38" s="441"/>
      <c r="C38" s="441"/>
      <c r="D38" s="407"/>
      <c r="E38" s="423"/>
    </row>
    <row r="39" spans="1:5" ht="12.75">
      <c r="A39" s="399" t="s">
        <v>781</v>
      </c>
      <c r="B39" s="400" t="s">
        <v>785</v>
      </c>
      <c r="C39" s="430">
        <f>C40+C41</f>
        <v>88</v>
      </c>
      <c r="D39" s="401" t="s">
        <v>740</v>
      </c>
      <c r="E39" s="402">
        <f>E40+E41</f>
        <v>81206</v>
      </c>
    </row>
    <row r="40" spans="1:5" ht="12.75">
      <c r="A40" s="403"/>
      <c r="B40" s="404" t="s">
        <v>706</v>
      </c>
      <c r="C40" s="404">
        <v>57</v>
      </c>
      <c r="D40" s="405">
        <v>80120</v>
      </c>
      <c r="E40" s="406">
        <v>50065</v>
      </c>
    </row>
    <row r="41" spans="1:5" ht="12.75">
      <c r="A41" s="403"/>
      <c r="B41" s="408" t="s">
        <v>696</v>
      </c>
      <c r="C41" s="408">
        <v>31</v>
      </c>
      <c r="D41" s="410">
        <v>80130</v>
      </c>
      <c r="E41" s="411">
        <v>31141</v>
      </c>
    </row>
    <row r="42" spans="1:5" ht="22.5">
      <c r="A42" s="442" t="s">
        <v>786</v>
      </c>
      <c r="B42" s="412" t="s">
        <v>778</v>
      </c>
      <c r="C42" s="412"/>
      <c r="D42" s="442"/>
      <c r="E42" s="415">
        <f>E43+E44</f>
        <v>-28212</v>
      </c>
    </row>
    <row r="43" spans="1:5" ht="12.75">
      <c r="A43" s="418"/>
      <c r="B43" s="443"/>
      <c r="C43" s="433"/>
      <c r="D43" s="418">
        <v>80120</v>
      </c>
      <c r="E43" s="419">
        <v>-10378</v>
      </c>
    </row>
    <row r="44" spans="1:5" ht="12.75">
      <c r="A44" s="435"/>
      <c r="B44" s="434"/>
      <c r="C44" s="434"/>
      <c r="D44" s="422" t="s">
        <v>777</v>
      </c>
      <c r="E44" s="423">
        <v>-17834</v>
      </c>
    </row>
    <row r="45" spans="1:5" ht="12.75">
      <c r="A45" s="444"/>
      <c r="B45" s="429" t="s">
        <v>787</v>
      </c>
      <c r="C45" s="440" t="s">
        <v>740</v>
      </c>
      <c r="D45" s="445" t="s">
        <v>740</v>
      </c>
      <c r="E45" s="446">
        <f>E39+E42</f>
        <v>52994</v>
      </c>
    </row>
    <row r="46" spans="1:5" ht="13.5" customHeight="1">
      <c r="A46" s="447"/>
      <c r="B46" s="448" t="s">
        <v>700</v>
      </c>
      <c r="C46" s="449"/>
      <c r="D46" s="450"/>
      <c r="E46" s="451">
        <f>E16+E27+E37+E45</f>
        <v>997465</v>
      </c>
    </row>
    <row r="47" spans="1:5" ht="12.75">
      <c r="A47" s="396" t="s">
        <v>774</v>
      </c>
      <c r="B47" s="396"/>
      <c r="C47" s="396"/>
      <c r="D47" s="396"/>
      <c r="E47" s="397"/>
    </row>
    <row r="48" spans="1:5" ht="12.75">
      <c r="A48" s="396" t="s">
        <v>773</v>
      </c>
      <c r="B48" s="396"/>
      <c r="C48" s="396"/>
      <c r="D48" s="396"/>
      <c r="E48" s="397"/>
    </row>
    <row r="49" spans="1:5" ht="19.5" customHeight="1">
      <c r="A49" s="396" t="s">
        <v>776</v>
      </c>
      <c r="B49" s="396"/>
      <c r="C49" s="396"/>
      <c r="D49" s="396"/>
      <c r="E49" s="397"/>
    </row>
    <row r="50" spans="1:5" ht="12.75">
      <c r="A50" s="396" t="s">
        <v>775</v>
      </c>
      <c r="B50" s="396"/>
      <c r="C50" s="396"/>
      <c r="D50" s="396"/>
      <c r="E50" s="397"/>
    </row>
    <row r="51" spans="1:5" ht="12.75">
      <c r="A51" s="396" t="s">
        <v>788</v>
      </c>
      <c r="B51" s="396"/>
      <c r="C51" s="396"/>
      <c r="D51" s="396"/>
      <c r="E51" s="397"/>
    </row>
    <row r="52" spans="1:5" ht="16.5" customHeight="1">
      <c r="A52" s="396" t="s">
        <v>834</v>
      </c>
      <c r="B52" s="396"/>
      <c r="C52" s="396"/>
      <c r="D52" s="396"/>
      <c r="E52" s="397"/>
    </row>
    <row r="53" spans="1:5" ht="48" customHeight="1">
      <c r="A53" t="s">
        <v>21</v>
      </c>
      <c r="E53" s="346"/>
    </row>
    <row r="54" ht="12.75">
      <c r="E54" s="346"/>
    </row>
    <row r="55" ht="12.75">
      <c r="E55" s="346"/>
    </row>
    <row r="56" ht="12.75">
      <c r="E56" s="346"/>
    </row>
    <row r="57" ht="12.75">
      <c r="E57" s="346"/>
    </row>
    <row r="58" ht="12.75">
      <c r="E58" s="346"/>
    </row>
    <row r="59" ht="12.75">
      <c r="E59" s="346"/>
    </row>
    <row r="60" ht="12.75">
      <c r="E60" s="346"/>
    </row>
    <row r="61" ht="12.75">
      <c r="E61" s="346"/>
    </row>
    <row r="62" ht="12.75">
      <c r="E62" s="346"/>
    </row>
  </sheetData>
  <mergeCells count="2">
    <mergeCell ref="A2:E2"/>
    <mergeCell ref="C1:E1"/>
  </mergeCells>
  <printOptions/>
  <pageMargins left="0.5905511811023623" right="0.3937007874015748" top="0.1968503937007874" bottom="0.1968503937007874" header="0.5118110236220472" footer="0.5118110236220472"/>
  <pageSetup horizontalDpi="300" verticalDpi="300" orientation="portrait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J15"/>
  <sheetViews>
    <sheetView workbookViewId="0" topLeftCell="E2">
      <selection activeCell="I1" sqref="I1:J2"/>
    </sheetView>
  </sheetViews>
  <sheetFormatPr defaultColWidth="9.00390625" defaultRowHeight="12.75"/>
  <cols>
    <col min="1" max="1" width="5.875" style="0" customWidth="1"/>
    <col min="2" max="2" width="9.00390625" style="0" customWidth="1"/>
    <col min="3" max="3" width="7.875" style="0" customWidth="1"/>
    <col min="4" max="4" width="27.625" style="0" customWidth="1"/>
    <col min="5" max="5" width="11.75390625" style="0" customWidth="1"/>
    <col min="6" max="6" width="11.125" style="0" customWidth="1"/>
    <col min="7" max="7" width="10.625" style="0" customWidth="1"/>
    <col min="8" max="8" width="8.625" style="0" customWidth="1"/>
    <col min="9" max="9" width="12.75390625" style="0" customWidth="1"/>
    <col min="10" max="10" width="26.875" style="0" customWidth="1"/>
  </cols>
  <sheetData>
    <row r="1" spans="9:10" ht="17.25" customHeight="1" hidden="1">
      <c r="I1" s="527" t="s">
        <v>8</v>
      </c>
      <c r="J1" s="527"/>
    </row>
    <row r="2" spans="9:10" ht="44.25" customHeight="1">
      <c r="I2" s="527"/>
      <c r="J2" s="527"/>
    </row>
    <row r="3" spans="1:10" ht="33.75" customHeight="1">
      <c r="A3" s="626" t="s">
        <v>713</v>
      </c>
      <c r="B3" s="627"/>
      <c r="C3" s="627"/>
      <c r="D3" s="627"/>
      <c r="E3" s="627"/>
      <c r="F3" s="627"/>
      <c r="G3" s="627"/>
      <c r="H3" s="627"/>
      <c r="I3" s="627"/>
      <c r="J3" s="160"/>
    </row>
    <row r="4" spans="1:10" ht="15.75" customHeight="1">
      <c r="A4" s="528" t="s">
        <v>462</v>
      </c>
      <c r="B4" s="528" t="s">
        <v>333</v>
      </c>
      <c r="C4" s="530" t="s">
        <v>29</v>
      </c>
      <c r="D4" s="543" t="s">
        <v>463</v>
      </c>
      <c r="E4" s="588" t="s">
        <v>450</v>
      </c>
      <c r="F4" s="588"/>
      <c r="G4" s="588"/>
      <c r="H4" s="588"/>
      <c r="I4" s="588"/>
      <c r="J4" s="543" t="s">
        <v>464</v>
      </c>
    </row>
    <row r="5" spans="1:10" ht="15.75" customHeight="1">
      <c r="A5" s="528"/>
      <c r="B5" s="528"/>
      <c r="C5" s="625"/>
      <c r="D5" s="543"/>
      <c r="E5" s="543" t="s">
        <v>465</v>
      </c>
      <c r="F5" s="588" t="s">
        <v>452</v>
      </c>
      <c r="G5" s="588"/>
      <c r="H5" s="588"/>
      <c r="I5" s="588"/>
      <c r="J5" s="543"/>
    </row>
    <row r="6" spans="1:10" ht="64.5" customHeight="1">
      <c r="A6" s="528"/>
      <c r="B6" s="528"/>
      <c r="C6" s="531"/>
      <c r="D6" s="543"/>
      <c r="E6" s="543"/>
      <c r="F6" s="147" t="s">
        <v>454</v>
      </c>
      <c r="G6" s="147" t="s">
        <v>466</v>
      </c>
      <c r="H6" s="147" t="s">
        <v>455</v>
      </c>
      <c r="I6" s="155" t="s">
        <v>812</v>
      </c>
      <c r="J6" s="543"/>
    </row>
    <row r="7" spans="1:10" ht="12" customHeight="1">
      <c r="A7" s="6">
        <v>1</v>
      </c>
      <c r="B7" s="6">
        <v>2</v>
      </c>
      <c r="C7" s="6">
        <v>3</v>
      </c>
      <c r="D7" s="6">
        <v>4</v>
      </c>
      <c r="E7" s="6">
        <v>5</v>
      </c>
      <c r="F7" s="6">
        <v>6</v>
      </c>
      <c r="G7" s="6">
        <v>7</v>
      </c>
      <c r="H7" s="6">
        <v>8</v>
      </c>
      <c r="I7" s="6">
        <v>9</v>
      </c>
      <c r="J7" s="6">
        <v>10</v>
      </c>
    </row>
    <row r="8" ht="12.75" hidden="1"/>
    <row r="9" spans="1:10" ht="66" customHeight="1">
      <c r="A9" s="11">
        <v>600</v>
      </c>
      <c r="B9" s="11">
        <v>60014</v>
      </c>
      <c r="C9" s="11">
        <v>6050</v>
      </c>
      <c r="D9" s="14" t="s">
        <v>728</v>
      </c>
      <c r="E9" s="382">
        <f>F9+G9+H9+I9</f>
        <v>577200</v>
      </c>
      <c r="F9" s="382">
        <v>144300</v>
      </c>
      <c r="G9" s="382">
        <v>0</v>
      </c>
      <c r="H9" s="382">
        <v>0</v>
      </c>
      <c r="I9" s="382">
        <v>432900</v>
      </c>
      <c r="J9" s="53" t="s">
        <v>598</v>
      </c>
    </row>
    <row r="10" spans="1:10" ht="42" customHeight="1">
      <c r="A10" s="11">
        <v>750</v>
      </c>
      <c r="B10" s="11">
        <v>75020</v>
      </c>
      <c r="C10" s="11">
        <v>6060</v>
      </c>
      <c r="D10" s="53" t="s">
        <v>729</v>
      </c>
      <c r="E10" s="382">
        <f>F10+G10+H10+I10</f>
        <v>13200</v>
      </c>
      <c r="F10" s="382">
        <v>13200</v>
      </c>
      <c r="G10" s="382">
        <v>0</v>
      </c>
      <c r="H10" s="382">
        <v>0</v>
      </c>
      <c r="I10" s="382">
        <v>0</v>
      </c>
      <c r="J10" s="53" t="s">
        <v>597</v>
      </c>
    </row>
    <row r="11" spans="1:10" ht="85.5" customHeight="1" hidden="1">
      <c r="A11" s="11">
        <v>853</v>
      </c>
      <c r="B11" s="11">
        <v>85302</v>
      </c>
      <c r="C11" s="11">
        <v>6060</v>
      </c>
      <c r="D11" s="53" t="s">
        <v>730</v>
      </c>
      <c r="E11" s="382">
        <v>0</v>
      </c>
      <c r="F11" s="382">
        <v>0</v>
      </c>
      <c r="G11" s="382">
        <v>0</v>
      </c>
      <c r="H11" s="382">
        <v>0</v>
      </c>
      <c r="I11" s="382">
        <v>0</v>
      </c>
      <c r="J11" s="53" t="s">
        <v>752</v>
      </c>
    </row>
    <row r="12" spans="1:10" ht="45.75" customHeight="1">
      <c r="A12" s="574" t="s">
        <v>363</v>
      </c>
      <c r="B12" s="575"/>
      <c r="C12" s="575"/>
      <c r="D12" s="576"/>
      <c r="E12" s="12">
        <f>SUM(E9:E11)</f>
        <v>590400</v>
      </c>
      <c r="F12" s="12">
        <f>SUM(F9:F11)</f>
        <v>157500</v>
      </c>
      <c r="G12" s="383">
        <f>SUM(G9:G11)</f>
        <v>0</v>
      </c>
      <c r="H12" s="383">
        <f>SUM(H9:H11)</f>
        <v>0</v>
      </c>
      <c r="I12" s="383">
        <f>SUM(I9:I11)</f>
        <v>432900</v>
      </c>
      <c r="J12" s="161" t="s">
        <v>740</v>
      </c>
    </row>
    <row r="13" ht="12.75">
      <c r="F13" s="162"/>
    </row>
    <row r="15" spans="2:6" ht="27" customHeight="1">
      <c r="B15" t="s">
        <v>27</v>
      </c>
      <c r="F15" t="s">
        <v>803</v>
      </c>
    </row>
  </sheetData>
  <mergeCells count="11">
    <mergeCell ref="E4:I4"/>
    <mergeCell ref="C4:C6"/>
    <mergeCell ref="I1:J2"/>
    <mergeCell ref="A12:D12"/>
    <mergeCell ref="J4:J6"/>
    <mergeCell ref="A3:I3"/>
    <mergeCell ref="F5:I5"/>
    <mergeCell ref="A4:A6"/>
    <mergeCell ref="B4:B6"/>
    <mergeCell ref="D4:D6"/>
    <mergeCell ref="E5:E6"/>
  </mergeCells>
  <printOptions horizontalCentered="1" verticalCentered="1"/>
  <pageMargins left="0.3937007874015748" right="0.3937007874015748" top="0.1968503937007874" bottom="0.7874015748031497" header="0.5118110236220472" footer="0.5118110236220472"/>
  <pageSetup horizontalDpi="360" verticalDpi="360" orientation="landscape" paperSize="9" r:id="rId1"/>
  <headerFooter alignWithMargins="0">
    <oddFooter>&amp;CStrona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O21"/>
  <sheetViews>
    <sheetView workbookViewId="0" topLeftCell="F1">
      <selection activeCell="I1" sqref="I1:N1"/>
    </sheetView>
  </sheetViews>
  <sheetFormatPr defaultColWidth="9.00390625" defaultRowHeight="12.75"/>
  <cols>
    <col min="1" max="1" width="4.00390625" style="0" customWidth="1"/>
    <col min="2" max="2" width="6.375" style="0" customWidth="1"/>
    <col min="3" max="3" width="4.75390625" style="0" customWidth="1"/>
    <col min="4" max="4" width="18.125" style="0" customWidth="1"/>
    <col min="5" max="7" width="11.375" style="0" customWidth="1"/>
    <col min="8" max="8" width="10.125" style="0" customWidth="1"/>
    <col min="9" max="9" width="9.25390625" style="0" customWidth="1"/>
    <col min="10" max="10" width="11.375" style="0" customWidth="1"/>
    <col min="11" max="11" width="11.75390625" style="0" customWidth="1"/>
    <col min="12" max="12" width="11.625" style="0" customWidth="1"/>
    <col min="13" max="14" width="12.375" style="0" customWidth="1"/>
  </cols>
  <sheetData>
    <row r="1" spans="5:14" ht="49.5" customHeight="1">
      <c r="E1" s="154"/>
      <c r="I1" s="609" t="s">
        <v>9</v>
      </c>
      <c r="J1" s="609"/>
      <c r="K1" s="609"/>
      <c r="L1" s="609"/>
      <c r="M1" s="609"/>
      <c r="N1" s="609"/>
    </row>
    <row r="2" spans="1:14" ht="35.25" customHeight="1" thickBot="1">
      <c r="A2" s="643" t="s">
        <v>448</v>
      </c>
      <c r="B2" s="643"/>
      <c r="C2" s="643"/>
      <c r="D2" s="643"/>
      <c r="E2" s="643"/>
      <c r="F2" s="643"/>
      <c r="G2" s="643"/>
      <c r="H2" s="643"/>
      <c r="I2" s="643"/>
      <c r="J2" s="643"/>
      <c r="K2" s="643"/>
      <c r="L2" s="643"/>
      <c r="M2" s="644"/>
      <c r="N2" s="643"/>
    </row>
    <row r="3" spans="1:14" ht="24.75" customHeight="1">
      <c r="A3" s="632" t="s">
        <v>332</v>
      </c>
      <c r="B3" s="632" t="s">
        <v>333</v>
      </c>
      <c r="C3" s="635" t="s">
        <v>29</v>
      </c>
      <c r="D3" s="631" t="s">
        <v>449</v>
      </c>
      <c r="E3" s="631" t="s">
        <v>831</v>
      </c>
      <c r="F3" s="645" t="s">
        <v>450</v>
      </c>
      <c r="G3" s="645"/>
      <c r="H3" s="645"/>
      <c r="I3" s="645"/>
      <c r="J3" s="645"/>
      <c r="K3" s="645"/>
      <c r="L3" s="638"/>
      <c r="M3" s="628" t="s">
        <v>24</v>
      </c>
      <c r="N3" s="642" t="s">
        <v>451</v>
      </c>
    </row>
    <row r="4" spans="1:14" ht="12.75" customHeight="1">
      <c r="A4" s="632"/>
      <c r="B4" s="632"/>
      <c r="C4" s="636"/>
      <c r="D4" s="631"/>
      <c r="E4" s="631"/>
      <c r="F4" s="633" t="s">
        <v>830</v>
      </c>
      <c r="G4" s="645" t="s">
        <v>452</v>
      </c>
      <c r="H4" s="645"/>
      <c r="I4" s="645"/>
      <c r="J4" s="645"/>
      <c r="K4" s="632" t="s">
        <v>453</v>
      </c>
      <c r="L4" s="641" t="s">
        <v>23</v>
      </c>
      <c r="M4" s="629"/>
      <c r="N4" s="642"/>
    </row>
    <row r="5" spans="1:14" ht="48" customHeight="1">
      <c r="A5" s="632"/>
      <c r="B5" s="632"/>
      <c r="C5" s="637"/>
      <c r="D5" s="631"/>
      <c r="E5" s="631"/>
      <c r="F5" s="634"/>
      <c r="G5" s="155" t="s">
        <v>454</v>
      </c>
      <c r="H5" s="155" t="s">
        <v>455</v>
      </c>
      <c r="I5" s="155" t="s">
        <v>829</v>
      </c>
      <c r="J5" s="155" t="s">
        <v>456</v>
      </c>
      <c r="K5" s="632"/>
      <c r="L5" s="641"/>
      <c r="M5" s="630"/>
      <c r="N5" s="642"/>
    </row>
    <row r="6" spans="1:14" ht="12.75">
      <c r="A6" s="389">
        <v>1</v>
      </c>
      <c r="B6" s="389">
        <v>2</v>
      </c>
      <c r="C6" s="389">
        <v>3</v>
      </c>
      <c r="D6" s="389">
        <v>4</v>
      </c>
      <c r="E6" s="389">
        <v>5</v>
      </c>
      <c r="F6" s="389">
        <v>6</v>
      </c>
      <c r="G6" s="389">
        <v>7</v>
      </c>
      <c r="H6" s="389">
        <v>8</v>
      </c>
      <c r="I6" s="389">
        <v>9</v>
      </c>
      <c r="J6" s="389">
        <v>10</v>
      </c>
      <c r="K6" s="389">
        <v>11</v>
      </c>
      <c r="L6" s="390">
        <v>12</v>
      </c>
      <c r="M6" s="452">
        <v>13</v>
      </c>
      <c r="N6" s="453">
        <v>14</v>
      </c>
    </row>
    <row r="7" spans="1:14" ht="52.5" customHeight="1">
      <c r="A7" s="454">
        <v>600</v>
      </c>
      <c r="B7" s="454">
        <v>60014</v>
      </c>
      <c r="C7" s="454">
        <v>6050</v>
      </c>
      <c r="D7" s="455" t="s">
        <v>457</v>
      </c>
      <c r="E7" s="157">
        <f>F7+K7+L7</f>
        <v>1700000</v>
      </c>
      <c r="F7" s="157">
        <f>G7+H7+J7+I7</f>
        <v>1700000</v>
      </c>
      <c r="G7" s="157">
        <v>625000</v>
      </c>
      <c r="H7" s="157">
        <v>0</v>
      </c>
      <c r="I7" s="157">
        <v>50000</v>
      </c>
      <c r="J7" s="157">
        <v>1025000</v>
      </c>
      <c r="K7" s="157">
        <v>0</v>
      </c>
      <c r="L7" s="157">
        <v>0</v>
      </c>
      <c r="M7" s="157">
        <v>0</v>
      </c>
      <c r="N7" s="455" t="s">
        <v>445</v>
      </c>
    </row>
    <row r="8" spans="1:14" ht="52.5" customHeight="1">
      <c r="A8" s="454">
        <v>600</v>
      </c>
      <c r="B8" s="454">
        <v>60014</v>
      </c>
      <c r="C8" s="454">
        <v>6050</v>
      </c>
      <c r="D8" s="455" t="s">
        <v>836</v>
      </c>
      <c r="E8" s="157">
        <f>F8+K8+L8</f>
        <v>646500</v>
      </c>
      <c r="F8" s="157">
        <f>G8+H8+J8+I8</f>
        <v>0</v>
      </c>
      <c r="G8" s="157">
        <v>0</v>
      </c>
      <c r="H8" s="157">
        <v>0</v>
      </c>
      <c r="I8" s="157">
        <v>0</v>
      </c>
      <c r="J8" s="157">
        <v>0</v>
      </c>
      <c r="K8" s="157">
        <v>646500</v>
      </c>
      <c r="L8" s="157">
        <v>0</v>
      </c>
      <c r="M8" s="157">
        <v>0</v>
      </c>
      <c r="N8" s="455" t="s">
        <v>445</v>
      </c>
    </row>
    <row r="9" spans="1:14" ht="60" customHeight="1">
      <c r="A9" s="454">
        <v>600</v>
      </c>
      <c r="B9" s="454">
        <v>60014</v>
      </c>
      <c r="C9" s="454">
        <v>6050</v>
      </c>
      <c r="D9" s="455" t="s">
        <v>857</v>
      </c>
      <c r="E9" s="157">
        <f>F9+K9+L9</f>
        <v>359379</v>
      </c>
      <c r="F9" s="157">
        <f>G9+H9+J9+I9</f>
        <v>0</v>
      </c>
      <c r="G9" s="157">
        <v>0</v>
      </c>
      <c r="H9" s="157">
        <v>0</v>
      </c>
      <c r="I9" s="157">
        <v>0</v>
      </c>
      <c r="J9" s="157">
        <v>0</v>
      </c>
      <c r="K9" s="157">
        <v>359379</v>
      </c>
      <c r="L9" s="157"/>
      <c r="M9" s="157"/>
      <c r="N9" s="455" t="s">
        <v>445</v>
      </c>
    </row>
    <row r="10" spans="1:15" ht="51" customHeight="1">
      <c r="A10" s="456">
        <v>851</v>
      </c>
      <c r="B10" s="456">
        <v>85111</v>
      </c>
      <c r="C10" s="456">
        <v>6050</v>
      </c>
      <c r="D10" s="457" t="s">
        <v>837</v>
      </c>
      <c r="E10" s="272">
        <f>F10+K10+L10</f>
        <v>1547376</v>
      </c>
      <c r="F10" s="157">
        <f>G10+H10+J10+I10</f>
        <v>193876</v>
      </c>
      <c r="G10" s="272">
        <v>193876</v>
      </c>
      <c r="H10" s="272">
        <v>0</v>
      </c>
      <c r="I10" s="272">
        <v>0</v>
      </c>
      <c r="J10" s="272">
        <v>0</v>
      </c>
      <c r="K10" s="272">
        <v>353500</v>
      </c>
      <c r="L10" s="272">
        <v>1000000</v>
      </c>
      <c r="M10" s="272">
        <v>16782019</v>
      </c>
      <c r="N10" s="458" t="s">
        <v>458</v>
      </c>
      <c r="O10" s="361"/>
    </row>
    <row r="11" spans="1:15" ht="59.25" customHeight="1">
      <c r="A11" s="456">
        <v>801</v>
      </c>
      <c r="B11" s="456">
        <v>80130</v>
      </c>
      <c r="C11" s="456">
        <v>6050</v>
      </c>
      <c r="D11" s="457" t="s">
        <v>459</v>
      </c>
      <c r="E11" s="158">
        <f>F11+K11+L11</f>
        <v>1774584</v>
      </c>
      <c r="F11" s="157">
        <f>G11+H11+J11+I11</f>
        <v>1774584</v>
      </c>
      <c r="G11" s="158">
        <v>459584</v>
      </c>
      <c r="H11" s="158">
        <v>860000</v>
      </c>
      <c r="I11" s="158">
        <v>0</v>
      </c>
      <c r="J11" s="158">
        <v>455000</v>
      </c>
      <c r="K11" s="158">
        <v>0</v>
      </c>
      <c r="L11" s="272">
        <v>0</v>
      </c>
      <c r="M11" s="272">
        <v>0</v>
      </c>
      <c r="N11" s="458" t="s">
        <v>443</v>
      </c>
      <c r="O11" s="46"/>
    </row>
    <row r="12" spans="1:14" ht="26.25" customHeight="1">
      <c r="A12" s="638" t="s">
        <v>460</v>
      </c>
      <c r="B12" s="639"/>
      <c r="C12" s="639"/>
      <c r="D12" s="640"/>
      <c r="E12" s="159">
        <f aca="true" t="shared" si="0" ref="E12:M12">SUM(E7:E11)</f>
        <v>6027839</v>
      </c>
      <c r="F12" s="159">
        <f t="shared" si="0"/>
        <v>3668460</v>
      </c>
      <c r="G12" s="159">
        <f t="shared" si="0"/>
        <v>1278460</v>
      </c>
      <c r="H12" s="159">
        <f t="shared" si="0"/>
        <v>860000</v>
      </c>
      <c r="I12" s="159">
        <f t="shared" si="0"/>
        <v>50000</v>
      </c>
      <c r="J12" s="159">
        <f t="shared" si="0"/>
        <v>1480000</v>
      </c>
      <c r="K12" s="159">
        <f t="shared" si="0"/>
        <v>1359379</v>
      </c>
      <c r="L12" s="159">
        <f t="shared" si="0"/>
        <v>1000000</v>
      </c>
      <c r="M12" s="159">
        <f t="shared" si="0"/>
        <v>16782019</v>
      </c>
      <c r="N12" s="159"/>
    </row>
    <row r="13" ht="16.5" customHeight="1">
      <c r="A13" t="s">
        <v>838</v>
      </c>
    </row>
    <row r="14" ht="12.75">
      <c r="A14" t="s">
        <v>835</v>
      </c>
    </row>
    <row r="15" ht="12.75">
      <c r="A15" t="s">
        <v>19</v>
      </c>
    </row>
    <row r="16" ht="12.75">
      <c r="A16" t="s">
        <v>858</v>
      </c>
    </row>
    <row r="17" ht="12.75">
      <c r="A17" t="s">
        <v>17</v>
      </c>
    </row>
    <row r="18" ht="12.75">
      <c r="A18" t="s">
        <v>18</v>
      </c>
    </row>
    <row r="21" spans="4:11" ht="18" customHeight="1">
      <c r="D21" t="s">
        <v>27</v>
      </c>
      <c r="K21" t="s">
        <v>803</v>
      </c>
    </row>
  </sheetData>
  <mergeCells count="15">
    <mergeCell ref="I1:N1"/>
    <mergeCell ref="C3:C5"/>
    <mergeCell ref="A12:D12"/>
    <mergeCell ref="L4:L5"/>
    <mergeCell ref="N3:N5"/>
    <mergeCell ref="A2:N2"/>
    <mergeCell ref="A3:A5"/>
    <mergeCell ref="B3:B5"/>
    <mergeCell ref="G4:J4"/>
    <mergeCell ref="F3:L3"/>
    <mergeCell ref="M3:M5"/>
    <mergeCell ref="E3:E5"/>
    <mergeCell ref="D3:D5"/>
    <mergeCell ref="K4:K5"/>
    <mergeCell ref="F4:F5"/>
  </mergeCells>
  <printOptions/>
  <pageMargins left="0.1968503937007874" right="0.1968503937007874" top="0.5905511811023623" bottom="0.1968503937007874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F11"/>
  <sheetViews>
    <sheetView workbookViewId="0" topLeftCell="A1">
      <selection activeCell="C1" sqref="C1:E1"/>
    </sheetView>
  </sheetViews>
  <sheetFormatPr defaultColWidth="9.00390625" defaultRowHeight="12.75"/>
  <cols>
    <col min="1" max="1" width="44.375" style="0" customWidth="1"/>
    <col min="2" max="2" width="9.375" style="0" customWidth="1"/>
    <col min="3" max="3" width="5.75390625" style="0" customWidth="1"/>
    <col min="4" max="4" width="21.625" style="0" customWidth="1"/>
    <col min="5" max="5" width="8.25390625" style="0" customWidth="1"/>
  </cols>
  <sheetData>
    <row r="1" spans="3:5" ht="42.75" customHeight="1">
      <c r="C1" s="527" t="s">
        <v>10</v>
      </c>
      <c r="D1" s="527"/>
      <c r="E1" s="527"/>
    </row>
    <row r="2" spans="1:5" ht="39.75" customHeight="1">
      <c r="A2" s="648" t="s">
        <v>736</v>
      </c>
      <c r="B2" s="648"/>
      <c r="C2" s="648"/>
      <c r="D2" s="648"/>
      <c r="E2" s="648"/>
    </row>
    <row r="3" spans="1:5" ht="12.75">
      <c r="A3" s="360"/>
      <c r="B3" s="360"/>
      <c r="C3" s="360"/>
      <c r="D3" s="360"/>
      <c r="E3" s="360"/>
    </row>
    <row r="5" ht="13.5" thickBot="1">
      <c r="E5" s="330" t="s">
        <v>734</v>
      </c>
    </row>
    <row r="6" spans="1:6" ht="12.75">
      <c r="A6" s="657" t="s">
        <v>737</v>
      </c>
      <c r="B6" s="649" t="s">
        <v>692</v>
      </c>
      <c r="C6" s="651" t="s">
        <v>29</v>
      </c>
      <c r="D6" s="653" t="s">
        <v>735</v>
      </c>
      <c r="E6" s="654"/>
      <c r="F6" s="46"/>
    </row>
    <row r="7" spans="1:6" ht="13.5" thickBot="1">
      <c r="A7" s="658"/>
      <c r="B7" s="650"/>
      <c r="C7" s="652"/>
      <c r="D7" s="655"/>
      <c r="E7" s="656"/>
      <c r="F7" s="46"/>
    </row>
    <row r="8" spans="1:5" ht="45" customHeight="1" thickBot="1">
      <c r="A8" s="369" t="s">
        <v>738</v>
      </c>
      <c r="B8" s="370">
        <v>85117</v>
      </c>
      <c r="C8" s="370">
        <v>6220</v>
      </c>
      <c r="D8" s="646">
        <v>100000</v>
      </c>
      <c r="E8" s="647"/>
    </row>
    <row r="9" spans="1:5" ht="22.5" customHeight="1" thickBot="1">
      <c r="A9" s="97" t="s">
        <v>739</v>
      </c>
      <c r="B9" s="105" t="s">
        <v>740</v>
      </c>
      <c r="C9" s="368" t="s">
        <v>740</v>
      </c>
      <c r="D9" s="610">
        <f>SUM(D8:D8)</f>
        <v>100000</v>
      </c>
      <c r="E9" s="612"/>
    </row>
    <row r="11" spans="1:2" ht="27" customHeight="1">
      <c r="A11" t="s">
        <v>27</v>
      </c>
      <c r="B11" t="s">
        <v>803</v>
      </c>
    </row>
  </sheetData>
  <mergeCells count="8">
    <mergeCell ref="C1:E1"/>
    <mergeCell ref="D9:E9"/>
    <mergeCell ref="D8:E8"/>
    <mergeCell ref="A2:E2"/>
    <mergeCell ref="B6:B7"/>
    <mergeCell ref="C6:C7"/>
    <mergeCell ref="D6:E7"/>
    <mergeCell ref="A6:A7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29"/>
  <sheetViews>
    <sheetView workbookViewId="0" topLeftCell="A1">
      <selection activeCell="D2" sqref="D2"/>
    </sheetView>
  </sheetViews>
  <sheetFormatPr defaultColWidth="9.00390625" defaultRowHeight="12.75"/>
  <cols>
    <col min="2" max="2" width="54.25390625" style="0" customWidth="1"/>
    <col min="3" max="3" width="18.375" style="0" customWidth="1"/>
  </cols>
  <sheetData>
    <row r="1" ht="12.75">
      <c r="C1" s="609" t="s">
        <v>11</v>
      </c>
    </row>
    <row r="2" ht="57.75" customHeight="1">
      <c r="C2" s="609"/>
    </row>
    <row r="3" spans="1:2" ht="39.75" customHeight="1">
      <c r="A3" s="659" t="s">
        <v>644</v>
      </c>
      <c r="B3" s="659"/>
    </row>
    <row r="4" spans="1:3" ht="15.75">
      <c r="A4" s="301"/>
      <c r="B4" s="301"/>
      <c r="C4" s="1"/>
    </row>
    <row r="5" ht="13.5" thickBot="1">
      <c r="C5" s="47"/>
    </row>
    <row r="6" spans="1:3" ht="13.5" thickBot="1">
      <c r="A6" s="97" t="s">
        <v>381</v>
      </c>
      <c r="B6" s="302" t="s">
        <v>606</v>
      </c>
      <c r="C6" s="318" t="s">
        <v>742</v>
      </c>
    </row>
    <row r="7" spans="1:3" ht="13.5" thickBot="1">
      <c r="A7" s="97" t="s">
        <v>385</v>
      </c>
      <c r="B7" s="303" t="s">
        <v>607</v>
      </c>
      <c r="C7" s="319">
        <f>C8+C9-C10</f>
        <v>42645</v>
      </c>
    </row>
    <row r="8" spans="1:3" ht="12.75">
      <c r="A8" s="304" t="s">
        <v>393</v>
      </c>
      <c r="B8" s="305" t="s">
        <v>608</v>
      </c>
      <c r="C8" s="45">
        <v>42719</v>
      </c>
    </row>
    <row r="9" spans="1:3" ht="12.75">
      <c r="A9" s="140" t="s">
        <v>395</v>
      </c>
      <c r="B9" s="306" t="s">
        <v>609</v>
      </c>
      <c r="C9" s="11">
        <v>0</v>
      </c>
    </row>
    <row r="10" spans="1:3" ht="12.75">
      <c r="A10" s="140" t="s">
        <v>397</v>
      </c>
      <c r="B10" s="306" t="s">
        <v>610</v>
      </c>
      <c r="C10" s="11">
        <v>74</v>
      </c>
    </row>
    <row r="11" spans="1:3" ht="13.5" thickBot="1">
      <c r="A11" s="144" t="s">
        <v>400</v>
      </c>
      <c r="B11" s="307" t="s">
        <v>611</v>
      </c>
      <c r="C11" s="110" t="s">
        <v>447</v>
      </c>
    </row>
    <row r="12" spans="1:3" ht="13.5" thickBot="1">
      <c r="A12" s="97" t="s">
        <v>387</v>
      </c>
      <c r="B12" s="303" t="s">
        <v>612</v>
      </c>
      <c r="C12" s="319">
        <f>C13</f>
        <v>50000</v>
      </c>
    </row>
    <row r="13" spans="1:3" ht="13.5" thickBot="1">
      <c r="A13" s="320" t="s">
        <v>393</v>
      </c>
      <c r="B13" s="46" t="s">
        <v>759</v>
      </c>
      <c r="C13" s="43">
        <v>50000</v>
      </c>
    </row>
    <row r="14" spans="1:3" ht="33" customHeight="1" hidden="1" thickBot="1">
      <c r="A14" s="105" t="s">
        <v>391</v>
      </c>
      <c r="B14" s="321" t="s">
        <v>645</v>
      </c>
      <c r="C14" s="121">
        <v>0</v>
      </c>
    </row>
    <row r="15" spans="1:3" ht="13.5" thickBot="1">
      <c r="A15" s="97" t="s">
        <v>391</v>
      </c>
      <c r="B15" s="303" t="s">
        <v>330</v>
      </c>
      <c r="C15" s="113">
        <f>C16+C20</f>
        <v>92334</v>
      </c>
    </row>
    <row r="16" spans="1:3" ht="12.75">
      <c r="A16" s="308" t="s">
        <v>393</v>
      </c>
      <c r="B16" s="153" t="s">
        <v>613</v>
      </c>
      <c r="C16" s="60">
        <f>C17+C19+C18</f>
        <v>92334</v>
      </c>
    </row>
    <row r="17" spans="1:3" ht="24.75" customHeight="1">
      <c r="A17" s="140"/>
      <c r="B17" s="141" t="s">
        <v>646</v>
      </c>
      <c r="C17" s="11">
        <v>0</v>
      </c>
    </row>
    <row r="18" spans="1:3" ht="24.75" customHeight="1">
      <c r="A18" s="140"/>
      <c r="B18" s="141" t="s">
        <v>650</v>
      </c>
      <c r="C18" s="11">
        <v>0</v>
      </c>
    </row>
    <row r="19" spans="1:3" ht="33" customHeight="1">
      <c r="A19" s="140"/>
      <c r="B19" s="141" t="s">
        <v>647</v>
      </c>
      <c r="C19" s="11">
        <v>92334</v>
      </c>
    </row>
    <row r="20" spans="1:3" ht="12.75">
      <c r="A20" s="156" t="s">
        <v>395</v>
      </c>
      <c r="B20" s="322" t="s">
        <v>648</v>
      </c>
      <c r="C20" s="10">
        <f>C22+C21</f>
        <v>0</v>
      </c>
    </row>
    <row r="21" spans="1:3" ht="12.75">
      <c r="A21" s="323"/>
      <c r="B21" s="324" t="s">
        <v>760</v>
      </c>
      <c r="C21" s="196">
        <v>0</v>
      </c>
    </row>
    <row r="22" spans="1:3" ht="29.25" customHeight="1" thickBot="1">
      <c r="A22" s="136"/>
      <c r="B22" s="141" t="s">
        <v>649</v>
      </c>
      <c r="C22" s="110">
        <v>0</v>
      </c>
    </row>
    <row r="23" spans="1:3" ht="13.5" thickBot="1">
      <c r="A23" s="97" t="s">
        <v>545</v>
      </c>
      <c r="B23" s="303" t="s">
        <v>614</v>
      </c>
      <c r="C23" s="319">
        <f>C7+C12-C15</f>
        <v>311</v>
      </c>
    </row>
    <row r="24" spans="1:3" ht="12.75">
      <c r="A24" s="136" t="s">
        <v>393</v>
      </c>
      <c r="B24" s="309" t="s">
        <v>608</v>
      </c>
      <c r="C24" s="325">
        <v>0</v>
      </c>
    </row>
    <row r="25" spans="1:3" ht="12.75">
      <c r="A25" s="140" t="s">
        <v>395</v>
      </c>
      <c r="B25" s="306" t="s">
        <v>609</v>
      </c>
      <c r="C25" s="379">
        <v>0</v>
      </c>
    </row>
    <row r="26" spans="1:3" ht="13.5" thickBot="1">
      <c r="A26" s="50" t="s">
        <v>397</v>
      </c>
      <c r="B26" s="310" t="s">
        <v>610</v>
      </c>
      <c r="C26" s="380">
        <v>0</v>
      </c>
    </row>
    <row r="29" ht="12.75">
      <c r="A29" t="s">
        <v>22</v>
      </c>
    </row>
  </sheetData>
  <mergeCells count="2">
    <mergeCell ref="C1:C2"/>
    <mergeCell ref="A3:B3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78"/>
  <sheetViews>
    <sheetView workbookViewId="0" topLeftCell="A1">
      <selection activeCell="C1" sqref="C1:C3"/>
    </sheetView>
  </sheetViews>
  <sheetFormatPr defaultColWidth="9.00390625" defaultRowHeight="12.75"/>
  <cols>
    <col min="1" max="1" width="5.125" style="0" customWidth="1"/>
    <col min="2" max="2" width="51.875" style="0" customWidth="1"/>
    <col min="3" max="3" width="23.875" style="0" customWidth="1"/>
  </cols>
  <sheetData>
    <row r="1" ht="40.5" customHeight="1">
      <c r="C1" s="661" t="s">
        <v>12</v>
      </c>
    </row>
    <row r="2" ht="12.75">
      <c r="C2" s="661"/>
    </row>
    <row r="3" ht="12.75">
      <c r="C3" s="661"/>
    </row>
    <row r="4" spans="1:3" ht="33.75" customHeight="1">
      <c r="A4" s="659" t="s">
        <v>714</v>
      </c>
      <c r="B4" s="659"/>
      <c r="C4" s="659"/>
    </row>
    <row r="5" spans="1:2" ht="14.25" customHeight="1">
      <c r="A5" s="301"/>
      <c r="B5" s="301"/>
    </row>
    <row r="6" ht="13.5" thickBot="1">
      <c r="C6" t="s">
        <v>715</v>
      </c>
    </row>
    <row r="7" spans="1:3" ht="23.25" customHeight="1" thickBot="1">
      <c r="A7" s="97" t="s">
        <v>381</v>
      </c>
      <c r="B7" s="302" t="s">
        <v>606</v>
      </c>
      <c r="C7" s="20" t="s">
        <v>663</v>
      </c>
    </row>
    <row r="8" spans="1:3" ht="16.5" customHeight="1" thickBot="1">
      <c r="A8" s="97" t="s">
        <v>385</v>
      </c>
      <c r="B8" s="303" t="s">
        <v>607</v>
      </c>
      <c r="C8" s="10">
        <f>C9+C10-C11</f>
        <v>173000</v>
      </c>
    </row>
    <row r="9" spans="1:3" ht="15.75" customHeight="1">
      <c r="A9" s="304" t="s">
        <v>393</v>
      </c>
      <c r="B9" s="305" t="s">
        <v>608</v>
      </c>
      <c r="C9" s="11">
        <v>174992</v>
      </c>
    </row>
    <row r="10" spans="1:3" ht="18.75" customHeight="1">
      <c r="A10" s="140" t="s">
        <v>395</v>
      </c>
      <c r="B10" s="306" t="s">
        <v>609</v>
      </c>
      <c r="C10" s="11">
        <v>4494</v>
      </c>
    </row>
    <row r="11" spans="1:3" ht="17.25" customHeight="1">
      <c r="A11" s="140" t="s">
        <v>397</v>
      </c>
      <c r="B11" s="306" t="s">
        <v>610</v>
      </c>
      <c r="C11" s="11">
        <v>6486</v>
      </c>
    </row>
    <row r="12" spans="1:3" ht="16.5" customHeight="1" thickBot="1">
      <c r="A12" s="144" t="s">
        <v>400</v>
      </c>
      <c r="B12" s="307" t="s">
        <v>611</v>
      </c>
      <c r="C12" s="110">
        <v>0</v>
      </c>
    </row>
    <row r="13" spans="1:3" ht="20.25" customHeight="1" thickBot="1">
      <c r="A13" s="97" t="s">
        <v>387</v>
      </c>
      <c r="B13" s="303" t="s">
        <v>612</v>
      </c>
      <c r="C13" s="120">
        <f>C14+C15</f>
        <v>120000</v>
      </c>
    </row>
    <row r="14" spans="1:3" ht="16.5" customHeight="1">
      <c r="A14" s="136" t="s">
        <v>393</v>
      </c>
      <c r="B14" s="137" t="s">
        <v>716</v>
      </c>
      <c r="C14" s="45">
        <v>120000</v>
      </c>
    </row>
    <row r="15" spans="1:3" ht="16.5" customHeight="1">
      <c r="A15" s="140">
        <v>2</v>
      </c>
      <c r="B15" s="142" t="s">
        <v>717</v>
      </c>
      <c r="C15" s="11">
        <v>0</v>
      </c>
    </row>
    <row r="16" spans="1:3" ht="39" customHeight="1">
      <c r="A16" s="140">
        <v>3</v>
      </c>
      <c r="B16" s="141" t="s">
        <v>718</v>
      </c>
      <c r="C16" s="11">
        <v>0</v>
      </c>
    </row>
    <row r="17" spans="1:3" ht="17.25" customHeight="1" thickBot="1">
      <c r="A17" s="144"/>
      <c r="B17" s="307" t="s">
        <v>719</v>
      </c>
      <c r="C17" s="110">
        <v>0</v>
      </c>
    </row>
    <row r="18" spans="1:3" ht="18" customHeight="1" thickBot="1">
      <c r="A18" s="97" t="s">
        <v>391</v>
      </c>
      <c r="B18" s="303" t="s">
        <v>330</v>
      </c>
      <c r="C18" s="120">
        <f>C19+C26</f>
        <v>124000</v>
      </c>
    </row>
    <row r="19" spans="1:3" ht="17.25" customHeight="1">
      <c r="A19" s="308" t="s">
        <v>393</v>
      </c>
      <c r="B19" s="153" t="s">
        <v>613</v>
      </c>
      <c r="C19" s="45">
        <f>C20+C22+C23+C24+C25</f>
        <v>114000</v>
      </c>
    </row>
    <row r="20" spans="1:3" ht="17.25" customHeight="1">
      <c r="A20" s="140"/>
      <c r="B20" s="142" t="s">
        <v>720</v>
      </c>
      <c r="C20" s="11">
        <f>C21</f>
        <v>24000</v>
      </c>
    </row>
    <row r="21" spans="1:3" ht="17.25" customHeight="1">
      <c r="A21" s="140"/>
      <c r="B21" s="306" t="s">
        <v>721</v>
      </c>
      <c r="C21" s="11">
        <v>24000</v>
      </c>
    </row>
    <row r="22" spans="1:3" ht="17.25" customHeight="1">
      <c r="A22" s="140"/>
      <c r="B22" s="142" t="s">
        <v>722</v>
      </c>
      <c r="C22" s="11">
        <v>10000</v>
      </c>
    </row>
    <row r="23" spans="1:3" ht="16.5" customHeight="1">
      <c r="A23" s="140"/>
      <c r="B23" s="142" t="s">
        <v>723</v>
      </c>
      <c r="C23" s="11">
        <v>0</v>
      </c>
    </row>
    <row r="24" spans="1:3" ht="19.5" customHeight="1">
      <c r="A24" s="140"/>
      <c r="B24" s="141" t="s">
        <v>724</v>
      </c>
      <c r="C24" s="11">
        <v>80000</v>
      </c>
    </row>
    <row r="25" spans="1:3" ht="18" customHeight="1">
      <c r="A25" s="140"/>
      <c r="B25" s="142" t="s">
        <v>725</v>
      </c>
      <c r="C25" s="11">
        <v>0</v>
      </c>
    </row>
    <row r="26" spans="1:3" ht="15.75" customHeight="1">
      <c r="A26" s="349" t="s">
        <v>395</v>
      </c>
      <c r="B26" s="350" t="s">
        <v>726</v>
      </c>
      <c r="C26" s="10">
        <f>C27</f>
        <v>10000</v>
      </c>
    </row>
    <row r="27" spans="1:3" ht="12.75">
      <c r="A27" s="144"/>
      <c r="B27" s="351" t="s">
        <v>727</v>
      </c>
      <c r="C27" s="110">
        <v>10000</v>
      </c>
    </row>
    <row r="28" spans="1:3" ht="16.5" customHeight="1">
      <c r="A28" s="20" t="s">
        <v>410</v>
      </c>
      <c r="B28" s="10" t="s">
        <v>614</v>
      </c>
      <c r="C28" s="10">
        <f>C29+C30-C31</f>
        <v>169000</v>
      </c>
    </row>
    <row r="29" spans="1:3" ht="15.75" customHeight="1">
      <c r="A29" s="136" t="s">
        <v>393</v>
      </c>
      <c r="B29" s="309" t="s">
        <v>608</v>
      </c>
      <c r="C29" s="352">
        <v>167000</v>
      </c>
    </row>
    <row r="30" spans="1:3" ht="15" customHeight="1">
      <c r="A30" s="140" t="s">
        <v>395</v>
      </c>
      <c r="B30" s="306" t="s">
        <v>609</v>
      </c>
      <c r="C30" s="353">
        <v>4000</v>
      </c>
    </row>
    <row r="31" spans="1:3" ht="15" customHeight="1" thickBot="1">
      <c r="A31" s="50" t="s">
        <v>397</v>
      </c>
      <c r="B31" s="310" t="s">
        <v>610</v>
      </c>
      <c r="C31" s="354">
        <v>2000</v>
      </c>
    </row>
    <row r="34" ht="12.75">
      <c r="B34" t="s">
        <v>20</v>
      </c>
    </row>
    <row r="39" spans="1:3" ht="12.75">
      <c r="A39" s="46"/>
      <c r="B39" s="46"/>
      <c r="C39" s="662"/>
    </row>
    <row r="40" spans="1:3" ht="12" customHeight="1">
      <c r="A40" s="46"/>
      <c r="B40" s="46"/>
      <c r="C40" s="662"/>
    </row>
    <row r="41" spans="1:3" ht="14.25" customHeight="1">
      <c r="A41" s="660"/>
      <c r="B41" s="660"/>
      <c r="C41" s="46"/>
    </row>
    <row r="42" spans="1:3" ht="15.75">
      <c r="A42" s="356"/>
      <c r="B42" s="356"/>
      <c r="C42" s="355"/>
    </row>
    <row r="43" spans="1:3" ht="12.75">
      <c r="A43" s="46"/>
      <c r="B43" s="46"/>
      <c r="C43" s="357"/>
    </row>
    <row r="44" spans="1:3" ht="12.75">
      <c r="A44" s="275"/>
      <c r="B44" s="275"/>
      <c r="C44" s="347"/>
    </row>
    <row r="45" spans="1:3" ht="12.75">
      <c r="A45" s="275"/>
      <c r="B45" s="202"/>
      <c r="C45" s="202"/>
    </row>
    <row r="46" spans="1:3" ht="12.75">
      <c r="A46" s="312"/>
      <c r="B46" s="358"/>
      <c r="C46" s="46"/>
    </row>
    <row r="47" spans="1:3" ht="12.75">
      <c r="A47" s="312"/>
      <c r="B47" s="358"/>
      <c r="C47" s="46"/>
    </row>
    <row r="48" spans="1:3" ht="12.75">
      <c r="A48" s="312"/>
      <c r="B48" s="358"/>
      <c r="C48" s="46"/>
    </row>
    <row r="49" spans="1:3" ht="12.75">
      <c r="A49" s="312"/>
      <c r="B49" s="358"/>
      <c r="C49" s="46"/>
    </row>
    <row r="50" spans="1:3" ht="12.75">
      <c r="A50" s="275"/>
      <c r="B50" s="202"/>
      <c r="C50" s="202"/>
    </row>
    <row r="51" spans="1:3" ht="12.75">
      <c r="A51" s="312"/>
      <c r="B51" s="46"/>
      <c r="C51" s="46"/>
    </row>
    <row r="52" spans="1:3" ht="12.75">
      <c r="A52" s="275"/>
      <c r="B52" s="202"/>
      <c r="C52" s="202"/>
    </row>
    <row r="53" spans="1:3" ht="12.75">
      <c r="A53" s="275"/>
      <c r="B53" s="202"/>
      <c r="C53" s="202"/>
    </row>
    <row r="54" spans="1:3" ht="12.75">
      <c r="A54" s="312"/>
      <c r="B54" s="357"/>
      <c r="C54" s="46"/>
    </row>
    <row r="55" spans="1:3" ht="12.75">
      <c r="A55" s="312"/>
      <c r="B55" s="357"/>
      <c r="C55" s="46"/>
    </row>
    <row r="56" spans="1:3" ht="12.75">
      <c r="A56" s="359"/>
      <c r="B56" s="202"/>
      <c r="C56" s="202"/>
    </row>
    <row r="57" spans="1:3" ht="12.75">
      <c r="A57" s="312"/>
      <c r="B57" s="357"/>
      <c r="C57" s="46"/>
    </row>
    <row r="58" spans="1:3" ht="12.75">
      <c r="A58" s="275"/>
      <c r="B58" s="202"/>
      <c r="C58" s="202"/>
    </row>
    <row r="59" spans="1:3" ht="12.75">
      <c r="A59" s="312"/>
      <c r="B59" s="358"/>
      <c r="C59" s="46"/>
    </row>
    <row r="60" spans="1:3" ht="12.75">
      <c r="A60" s="312"/>
      <c r="B60" s="358"/>
      <c r="C60" s="233"/>
    </row>
    <row r="61" spans="1:3" ht="12.75">
      <c r="A61" s="312"/>
      <c r="B61" s="358"/>
      <c r="C61" s="233"/>
    </row>
    <row r="62" spans="1:3" ht="12.75">
      <c r="A62" s="46"/>
      <c r="B62" s="46"/>
      <c r="C62" s="46"/>
    </row>
    <row r="63" spans="1:3" ht="12.75">
      <c r="A63" s="46"/>
      <c r="B63" s="46"/>
      <c r="C63" s="46"/>
    </row>
    <row r="64" spans="1:3" ht="12.75">
      <c r="A64" s="46"/>
      <c r="B64" s="46"/>
      <c r="C64" s="46"/>
    </row>
    <row r="65" spans="1:3" ht="12.75">
      <c r="A65" s="46"/>
      <c r="B65" s="46"/>
      <c r="C65" s="46"/>
    </row>
    <row r="66" spans="1:3" ht="12.75">
      <c r="A66" s="46"/>
      <c r="B66" s="46"/>
      <c r="C66" s="46"/>
    </row>
    <row r="67" spans="1:3" ht="12.75">
      <c r="A67" s="46"/>
      <c r="B67" s="46"/>
      <c r="C67" s="46"/>
    </row>
    <row r="68" spans="1:3" ht="12.75">
      <c r="A68" s="46"/>
      <c r="B68" s="46"/>
      <c r="C68" s="46"/>
    </row>
    <row r="69" spans="1:3" ht="12.75">
      <c r="A69" s="46"/>
      <c r="B69" s="46"/>
      <c r="C69" s="46"/>
    </row>
    <row r="70" spans="1:3" ht="12.75">
      <c r="A70" s="46"/>
      <c r="B70" s="46"/>
      <c r="C70" s="46"/>
    </row>
    <row r="71" spans="1:3" ht="12.75">
      <c r="A71" s="46"/>
      <c r="B71" s="46"/>
      <c r="C71" s="46"/>
    </row>
    <row r="72" spans="1:3" ht="12.75">
      <c r="A72" s="46"/>
      <c r="B72" s="46"/>
      <c r="C72" s="46"/>
    </row>
    <row r="73" spans="1:3" ht="12.75">
      <c r="A73" s="46"/>
      <c r="B73" s="46"/>
      <c r="C73" s="46"/>
    </row>
    <row r="74" spans="1:3" ht="12.75">
      <c r="A74" s="46"/>
      <c r="B74" s="46"/>
      <c r="C74" s="46"/>
    </row>
    <row r="75" spans="1:3" ht="12.75">
      <c r="A75" s="46"/>
      <c r="B75" s="46"/>
      <c r="C75" s="46"/>
    </row>
    <row r="76" spans="1:3" ht="12.75">
      <c r="A76" s="46"/>
      <c r="B76" s="46"/>
      <c r="C76" s="46"/>
    </row>
    <row r="77" spans="1:3" ht="12.75">
      <c r="A77" s="46"/>
      <c r="B77" s="46"/>
      <c r="C77" s="46"/>
    </row>
    <row r="78" spans="1:3" ht="12.75">
      <c r="A78" s="46"/>
      <c r="B78" s="46"/>
      <c r="C78" s="46"/>
    </row>
  </sheetData>
  <mergeCells count="4">
    <mergeCell ref="A41:B41"/>
    <mergeCell ref="C1:C3"/>
    <mergeCell ref="C39:C40"/>
    <mergeCell ref="A4:C4"/>
  </mergeCells>
  <printOptions/>
  <pageMargins left="0.984251968503937" right="0.984251968503937" top="0.984251968503937" bottom="0.984251968503937" header="0.5118110236220472" footer="0.5118110236220472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E16" sqref="E16"/>
    </sheetView>
  </sheetViews>
  <sheetFormatPr defaultColWidth="9.00390625" defaultRowHeight="12.75"/>
  <cols>
    <col min="1" max="1" width="44.375" style="0" customWidth="1"/>
    <col min="2" max="2" width="30.375" style="0" customWidth="1"/>
    <col min="3" max="3" width="11.00390625" style="0" customWidth="1"/>
  </cols>
  <sheetData>
    <row r="1" spans="2:3" ht="39.75" customHeight="1">
      <c r="B1" s="527" t="s">
        <v>13</v>
      </c>
      <c r="C1" s="527"/>
    </row>
    <row r="2" spans="1:3" ht="39.75" customHeight="1">
      <c r="A2" s="648" t="s">
        <v>754</v>
      </c>
      <c r="B2" s="648"/>
      <c r="C2" s="648"/>
    </row>
    <row r="3" spans="1:3" ht="12.75">
      <c r="A3" s="360"/>
      <c r="B3" s="360"/>
      <c r="C3" s="360"/>
    </row>
    <row r="5" ht="13.5" thickBot="1">
      <c r="C5" s="330" t="s">
        <v>734</v>
      </c>
    </row>
    <row r="6" spans="1:4" ht="13.5" thickBot="1">
      <c r="A6" s="376" t="s">
        <v>755</v>
      </c>
      <c r="B6" s="666" t="s">
        <v>735</v>
      </c>
      <c r="C6" s="667"/>
      <c r="D6" s="46"/>
    </row>
    <row r="7" spans="1:4" ht="12.75">
      <c r="A7" s="377">
        <v>1</v>
      </c>
      <c r="B7" s="496">
        <v>2</v>
      </c>
      <c r="C7" s="250"/>
      <c r="D7" s="46"/>
    </row>
    <row r="8" spans="1:3" ht="66.75" customHeight="1" thickBot="1">
      <c r="A8" s="378" t="s">
        <v>757</v>
      </c>
      <c r="B8" s="664">
        <v>16000</v>
      </c>
      <c r="C8" s="665"/>
    </row>
    <row r="9" spans="1:3" ht="22.5" customHeight="1" thickBot="1">
      <c r="A9" s="362" t="s">
        <v>756</v>
      </c>
      <c r="B9" s="663">
        <f>SUM(B8:B8)</f>
        <v>16000</v>
      </c>
      <c r="C9" s="560"/>
    </row>
    <row r="12" ht="12.75">
      <c r="A12" t="s">
        <v>21</v>
      </c>
    </row>
  </sheetData>
  <mergeCells count="5">
    <mergeCell ref="B1:C1"/>
    <mergeCell ref="B9:C9"/>
    <mergeCell ref="B8:C8"/>
    <mergeCell ref="B6:C6"/>
    <mergeCell ref="A2:C2"/>
  </mergeCells>
  <printOptions/>
  <pageMargins left="0.7874015748031497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C314"/>
  <sheetViews>
    <sheetView zoomScaleSheetLayoutView="100" workbookViewId="0" topLeftCell="A2">
      <selection activeCell="M2" sqref="M2:Q4"/>
    </sheetView>
  </sheetViews>
  <sheetFormatPr defaultColWidth="9.00390625" defaultRowHeight="12.75"/>
  <cols>
    <col min="1" max="1" width="3.125" style="0" customWidth="1"/>
    <col min="2" max="2" width="29.25390625" style="0" customWidth="1"/>
    <col min="3" max="3" width="7.125" style="0" customWidth="1"/>
    <col min="4" max="4" width="9.375" style="0" customWidth="1"/>
    <col min="5" max="5" width="5.625" style="0" customWidth="1"/>
    <col min="6" max="6" width="0.12890625" style="0" hidden="1" customWidth="1"/>
    <col min="7" max="7" width="11.75390625" style="0" hidden="1" customWidth="1"/>
    <col min="8" max="8" width="8.25390625" style="0" hidden="1" customWidth="1"/>
    <col min="9" max="9" width="9.375" style="0" hidden="1" customWidth="1"/>
    <col min="10" max="10" width="1.12109375" style="0" hidden="1" customWidth="1"/>
    <col min="11" max="11" width="12.00390625" style="0" hidden="1" customWidth="1"/>
    <col min="12" max="12" width="0.12890625" style="0" hidden="1" customWidth="1"/>
    <col min="13" max="13" width="13.375" style="0" hidden="1" customWidth="1"/>
    <col min="14" max="14" width="10.875" style="0" hidden="1" customWidth="1"/>
    <col min="15" max="15" width="10.75390625" style="0" hidden="1" customWidth="1"/>
    <col min="16" max="16" width="18.00390625" style="0" customWidth="1"/>
    <col min="17" max="17" width="12.875" style="0" customWidth="1"/>
  </cols>
  <sheetData>
    <row r="1" ht="12.75" hidden="1"/>
    <row r="2" spans="13:17" ht="12.75" customHeight="1">
      <c r="M2" s="532" t="s">
        <v>862</v>
      </c>
      <c r="N2" s="532"/>
      <c r="O2" s="532"/>
      <c r="P2" s="532"/>
      <c r="Q2" s="532"/>
    </row>
    <row r="3" spans="13:17" ht="12.75">
      <c r="M3" s="532"/>
      <c r="N3" s="532"/>
      <c r="O3" s="532"/>
      <c r="P3" s="532"/>
      <c r="Q3" s="532"/>
    </row>
    <row r="4" spans="13:17" ht="6.75" customHeight="1">
      <c r="M4" s="532"/>
      <c r="N4" s="532"/>
      <c r="O4" s="532"/>
      <c r="P4" s="532"/>
      <c r="Q4" s="532"/>
    </row>
    <row r="5" ht="21.75" customHeight="1" hidden="1"/>
    <row r="6" spans="1:20" ht="1.5" customHeight="1" hidden="1">
      <c r="A6" s="538" t="s">
        <v>661</v>
      </c>
      <c r="B6" s="538"/>
      <c r="C6" s="538"/>
      <c r="D6" s="538"/>
      <c r="E6" s="538"/>
      <c r="F6" s="538"/>
      <c r="G6" s="538"/>
      <c r="H6" s="538"/>
      <c r="I6" s="538"/>
      <c r="J6" s="538"/>
      <c r="K6" s="538"/>
      <c r="L6" s="538"/>
      <c r="M6" s="538"/>
      <c r="N6" s="538"/>
      <c r="O6" s="538"/>
      <c r="P6" s="538"/>
      <c r="Q6" s="1"/>
      <c r="R6" s="1"/>
      <c r="S6" s="1"/>
      <c r="T6" s="1"/>
    </row>
    <row r="7" spans="1:20" ht="9.75" customHeight="1" hidden="1">
      <c r="A7" s="538"/>
      <c r="B7" s="538"/>
      <c r="C7" s="538"/>
      <c r="D7" s="538"/>
      <c r="E7" s="538"/>
      <c r="F7" s="538"/>
      <c r="G7" s="538"/>
      <c r="H7" s="538"/>
      <c r="I7" s="538"/>
      <c r="J7" s="538"/>
      <c r="K7" s="538"/>
      <c r="L7" s="538"/>
      <c r="M7" s="538"/>
      <c r="N7" s="538"/>
      <c r="O7" s="538"/>
      <c r="P7" s="538"/>
      <c r="Q7" s="1"/>
      <c r="R7" s="1"/>
      <c r="S7" s="1"/>
      <c r="T7" s="1"/>
    </row>
    <row r="8" spans="1:20" ht="0.75" customHeight="1" hidden="1">
      <c r="A8" s="538"/>
      <c r="B8" s="538"/>
      <c r="C8" s="538"/>
      <c r="D8" s="538"/>
      <c r="E8" s="538"/>
      <c r="F8" s="538"/>
      <c r="G8" s="538"/>
      <c r="H8" s="538"/>
      <c r="I8" s="538"/>
      <c r="J8" s="538"/>
      <c r="K8" s="538"/>
      <c r="L8" s="538"/>
      <c r="M8" s="538"/>
      <c r="N8" s="538"/>
      <c r="O8" s="538"/>
      <c r="P8" s="538"/>
      <c r="Q8" s="1"/>
      <c r="R8" s="1"/>
      <c r="S8" s="1"/>
      <c r="T8" s="1"/>
    </row>
    <row r="9" spans="1:16" ht="9.75" customHeight="1" hidden="1">
      <c r="A9" s="538"/>
      <c r="B9" s="538"/>
      <c r="C9" s="538"/>
      <c r="D9" s="538"/>
      <c r="E9" s="538"/>
      <c r="F9" s="538"/>
      <c r="G9" s="538"/>
      <c r="H9" s="538"/>
      <c r="I9" s="538"/>
      <c r="J9" s="538"/>
      <c r="K9" s="538"/>
      <c r="L9" s="538"/>
      <c r="M9" s="538"/>
      <c r="N9" s="538"/>
      <c r="O9" s="538"/>
      <c r="P9" s="538"/>
    </row>
    <row r="10" spans="1:17" ht="24" customHeight="1">
      <c r="A10" s="538"/>
      <c r="B10" s="538"/>
      <c r="C10" s="538"/>
      <c r="D10" s="538"/>
      <c r="E10" s="538"/>
      <c r="F10" s="538"/>
      <c r="G10" s="538"/>
      <c r="H10" s="538"/>
      <c r="I10" s="538"/>
      <c r="J10" s="538"/>
      <c r="K10" s="538"/>
      <c r="L10" s="538"/>
      <c r="M10" s="538"/>
      <c r="N10" s="538"/>
      <c r="O10" s="538"/>
      <c r="P10" s="538"/>
      <c r="Q10" s="536"/>
    </row>
    <row r="11" spans="1:17" ht="8.25" customHeight="1" thickBot="1">
      <c r="A11" s="539"/>
      <c r="B11" s="539"/>
      <c r="C11" s="539"/>
      <c r="D11" s="539"/>
      <c r="E11" s="539"/>
      <c r="F11" s="539"/>
      <c r="G11" s="539"/>
      <c r="H11" s="539"/>
      <c r="I11" s="539"/>
      <c r="J11" s="539"/>
      <c r="K11" s="539"/>
      <c r="L11" s="539"/>
      <c r="M11" s="539"/>
      <c r="N11" s="539"/>
      <c r="O11" s="539"/>
      <c r="P11" s="539"/>
      <c r="Q11" s="537"/>
    </row>
    <row r="12" spans="1:17" ht="13.5" customHeight="1">
      <c r="A12" s="512" t="s">
        <v>381</v>
      </c>
      <c r="B12" s="540" t="s">
        <v>26</v>
      </c>
      <c r="C12" s="540" t="s">
        <v>327</v>
      </c>
      <c r="D12" s="540"/>
      <c r="E12" s="540"/>
      <c r="F12" s="258"/>
      <c r="G12" s="258"/>
      <c r="H12" s="258"/>
      <c r="I12" s="258"/>
      <c r="J12" s="257"/>
      <c r="K12" s="123"/>
      <c r="L12" s="123"/>
      <c r="M12" s="540" t="s">
        <v>384</v>
      </c>
      <c r="N12" s="545" t="s">
        <v>589</v>
      </c>
      <c r="O12" s="545"/>
      <c r="P12" s="542" t="s">
        <v>662</v>
      </c>
      <c r="Q12" s="533" t="s">
        <v>664</v>
      </c>
    </row>
    <row r="13" spans="1:17" ht="26.25" customHeight="1">
      <c r="A13" s="513"/>
      <c r="B13" s="528"/>
      <c r="C13" s="528"/>
      <c r="D13" s="528"/>
      <c r="E13" s="528"/>
      <c r="F13" s="523" t="s">
        <v>468</v>
      </c>
      <c r="G13" s="543" t="s">
        <v>32</v>
      </c>
      <c r="H13" s="543" t="s">
        <v>469</v>
      </c>
      <c r="I13" s="255" t="s">
        <v>470</v>
      </c>
      <c r="J13" s="2"/>
      <c r="K13" s="543" t="s">
        <v>471</v>
      </c>
      <c r="L13" s="543" t="s">
        <v>472</v>
      </c>
      <c r="M13" s="528"/>
      <c r="N13" s="543" t="s">
        <v>587</v>
      </c>
      <c r="O13" s="543" t="s">
        <v>588</v>
      </c>
      <c r="P13" s="543"/>
      <c r="Q13" s="534"/>
    </row>
    <row r="14" spans="1:17" ht="7.5" customHeight="1">
      <c r="A14" s="513"/>
      <c r="B14" s="528"/>
      <c r="C14" s="528"/>
      <c r="D14" s="528"/>
      <c r="E14" s="528"/>
      <c r="F14" s="523"/>
      <c r="G14" s="543"/>
      <c r="H14" s="543"/>
      <c r="I14" s="543" t="s">
        <v>473</v>
      </c>
      <c r="J14" s="256"/>
      <c r="K14" s="543"/>
      <c r="L14" s="543"/>
      <c r="M14" s="528"/>
      <c r="N14" s="543"/>
      <c r="O14" s="543"/>
      <c r="P14" s="543"/>
      <c r="Q14" s="534"/>
    </row>
    <row r="15" spans="1:17" ht="19.5" customHeight="1" thickBot="1">
      <c r="A15" s="514"/>
      <c r="B15" s="259" t="s">
        <v>474</v>
      </c>
      <c r="C15" s="259" t="s">
        <v>475</v>
      </c>
      <c r="D15" s="260" t="s">
        <v>333</v>
      </c>
      <c r="E15" s="259" t="s">
        <v>29</v>
      </c>
      <c r="F15" s="524"/>
      <c r="G15" s="544"/>
      <c r="H15" s="544"/>
      <c r="I15" s="544"/>
      <c r="J15" s="261"/>
      <c r="K15" s="544"/>
      <c r="L15" s="544"/>
      <c r="M15" s="541"/>
      <c r="N15" s="544"/>
      <c r="O15" s="544"/>
      <c r="P15" s="544"/>
      <c r="Q15" s="535"/>
    </row>
    <row r="16" spans="1:17" ht="12.75">
      <c r="A16" s="19">
        <v>1</v>
      </c>
      <c r="B16" s="19">
        <v>2</v>
      </c>
      <c r="C16" s="19">
        <v>3</v>
      </c>
      <c r="D16" s="19">
        <v>4</v>
      </c>
      <c r="E16" s="19">
        <v>5</v>
      </c>
      <c r="F16" s="19">
        <v>6</v>
      </c>
      <c r="G16" s="19">
        <v>6</v>
      </c>
      <c r="H16" s="19">
        <v>8</v>
      </c>
      <c r="I16" s="19">
        <v>9</v>
      </c>
      <c r="K16" s="19">
        <v>7</v>
      </c>
      <c r="L16" s="19">
        <v>8</v>
      </c>
      <c r="M16" s="19">
        <v>6</v>
      </c>
      <c r="N16" s="19">
        <v>7</v>
      </c>
      <c r="O16" s="19">
        <v>8</v>
      </c>
      <c r="P16" s="19">
        <v>7</v>
      </c>
      <c r="Q16" s="19">
        <v>10</v>
      </c>
    </row>
    <row r="17" spans="1:17" ht="19.5" customHeight="1">
      <c r="A17" s="90" t="s">
        <v>385</v>
      </c>
      <c r="B17" s="60" t="s">
        <v>476</v>
      </c>
      <c r="C17" s="164"/>
      <c r="D17" s="165"/>
      <c r="E17" s="165"/>
      <c r="F17" s="166" t="e">
        <f>F18+F23+F29+F36+F46+F51+F54+F60+F81+F89+F103+F116</f>
        <v>#REF!</v>
      </c>
      <c r="G17" s="167" t="e">
        <f>G18+G23+G29+G36+G46+G51+G54+G60+G81+G89+G103+G120</f>
        <v>#REF!</v>
      </c>
      <c r="H17" s="168" t="e">
        <f aca="true" t="shared" si="0" ref="H17:H96">IF(F17&gt;0,G17/F17*100,"")</f>
        <v>#REF!</v>
      </c>
      <c r="I17" s="169" t="e">
        <f>F17/F306</f>
        <v>#REF!</v>
      </c>
      <c r="K17" s="10" t="e">
        <f>K18+K23+K29+K36+K46+K51+K54+K60+K81+K89+K103+K120</f>
        <v>#REF!</v>
      </c>
      <c r="L17" s="10" t="e">
        <f>L18+L23+L29+L36+L46+L51+L54+L60+L81+L89+L103+L120</f>
        <v>#REF!</v>
      </c>
      <c r="M17" s="10" t="e">
        <f>M18+M23+M29+M36+M46+M51+M54+M60+M81+M89+M103+M120</f>
        <v>#REF!</v>
      </c>
      <c r="N17" s="10" t="e">
        <f>N18+N23+N29+N36+N46+N51+N54+N60+N81+N89+N103+N120</f>
        <v>#REF!</v>
      </c>
      <c r="O17" s="10" t="e">
        <f>O18+O23+O29+O36+O46+O51+O54+O60+O81+O89+O103+O120</f>
        <v>#REF!</v>
      </c>
      <c r="P17" s="252">
        <f>P18+P23+P29+P36+P46+P51+P54+P60+P81+P89+P103+P120+P86</f>
        <v>1985405</v>
      </c>
      <c r="Q17" s="9">
        <f aca="true" t="shared" si="1" ref="Q17:Q48">P17/$P$306</f>
        <v>0.08646768464608418</v>
      </c>
    </row>
    <row r="18" spans="1:17" ht="18" customHeight="1">
      <c r="A18" s="23" t="s">
        <v>393</v>
      </c>
      <c r="B18" s="170" t="s">
        <v>477</v>
      </c>
      <c r="C18" s="31" t="s">
        <v>40</v>
      </c>
      <c r="D18" s="22"/>
      <c r="E18" s="22"/>
      <c r="F18" s="8">
        <f>F19+F21</f>
        <v>1390</v>
      </c>
      <c r="G18" s="171">
        <f>G19+G21</f>
        <v>950</v>
      </c>
      <c r="H18" s="168">
        <f t="shared" si="0"/>
        <v>68.34532374100719</v>
      </c>
      <c r="I18" s="13" t="e">
        <f>F18/F306</f>
        <v>#REF!</v>
      </c>
      <c r="J18" s="41"/>
      <c r="K18" s="10">
        <f aca="true" t="shared" si="2" ref="K18:P18">K19+K21</f>
        <v>0</v>
      </c>
      <c r="L18" s="10">
        <f t="shared" si="2"/>
        <v>0</v>
      </c>
      <c r="M18" s="10">
        <f t="shared" si="2"/>
        <v>520</v>
      </c>
      <c r="N18" s="10">
        <f t="shared" si="2"/>
        <v>0</v>
      </c>
      <c r="O18" s="10">
        <f t="shared" si="2"/>
        <v>0</v>
      </c>
      <c r="P18" s="252">
        <f t="shared" si="2"/>
        <v>400</v>
      </c>
      <c r="Q18" s="9">
        <f t="shared" si="1"/>
        <v>1.7420664226409056E-05</v>
      </c>
    </row>
    <row r="19" spans="1:17" ht="18" customHeight="1">
      <c r="A19" s="23" t="s">
        <v>478</v>
      </c>
      <c r="B19" s="60" t="s">
        <v>43</v>
      </c>
      <c r="C19" s="31"/>
      <c r="D19" s="31" t="s">
        <v>42</v>
      </c>
      <c r="E19" s="31"/>
      <c r="F19" s="12">
        <f>F20</f>
        <v>990</v>
      </c>
      <c r="G19" s="171">
        <f>G20</f>
        <v>550</v>
      </c>
      <c r="H19" s="168">
        <f t="shared" si="0"/>
        <v>55.55555555555556</v>
      </c>
      <c r="I19" s="13" t="e">
        <f>F19/F306</f>
        <v>#REF!</v>
      </c>
      <c r="J19" s="41"/>
      <c r="K19" s="10">
        <f aca="true" t="shared" si="3" ref="K19:P19">K20</f>
        <v>0</v>
      </c>
      <c r="L19" s="10">
        <f t="shared" si="3"/>
        <v>0</v>
      </c>
      <c r="M19" s="10">
        <f t="shared" si="3"/>
        <v>220</v>
      </c>
      <c r="N19" s="10">
        <f t="shared" si="3"/>
        <v>0</v>
      </c>
      <c r="O19" s="10">
        <f t="shared" si="3"/>
        <v>0</v>
      </c>
      <c r="P19" s="252">
        <f t="shared" si="3"/>
        <v>100</v>
      </c>
      <c r="Q19" s="9">
        <f t="shared" si="1"/>
        <v>4.355166056602264E-06</v>
      </c>
    </row>
    <row r="20" spans="1:17" ht="15" customHeight="1">
      <c r="A20" s="25"/>
      <c r="B20" s="172" t="s">
        <v>479</v>
      </c>
      <c r="C20" s="22"/>
      <c r="D20" s="22"/>
      <c r="E20" s="22" t="s">
        <v>480</v>
      </c>
      <c r="F20" s="8">
        <v>990</v>
      </c>
      <c r="G20" s="173">
        <v>550</v>
      </c>
      <c r="H20" s="174">
        <f t="shared" si="0"/>
        <v>55.55555555555556</v>
      </c>
      <c r="I20" s="9" t="e">
        <f>F20/F306</f>
        <v>#REF!</v>
      </c>
      <c r="K20" s="11">
        <v>0</v>
      </c>
      <c r="L20" s="11">
        <v>0</v>
      </c>
      <c r="M20" s="11">
        <v>220</v>
      </c>
      <c r="N20" s="11">
        <v>0</v>
      </c>
      <c r="O20" s="11">
        <v>0</v>
      </c>
      <c r="P20" s="11">
        <v>100</v>
      </c>
      <c r="Q20" s="9">
        <f t="shared" si="1"/>
        <v>4.355166056602264E-06</v>
      </c>
    </row>
    <row r="21" spans="1:17" ht="17.25" customHeight="1">
      <c r="A21" s="23" t="s">
        <v>481</v>
      </c>
      <c r="B21" s="7" t="s">
        <v>124</v>
      </c>
      <c r="C21" s="31"/>
      <c r="D21" s="31" t="s">
        <v>482</v>
      </c>
      <c r="E21" s="31"/>
      <c r="F21" s="12">
        <f>F22</f>
        <v>400</v>
      </c>
      <c r="G21" s="175">
        <f>G22</f>
        <v>400</v>
      </c>
      <c r="H21" s="168">
        <f t="shared" si="0"/>
        <v>100</v>
      </c>
      <c r="I21" s="13" t="e">
        <f>F21/F306</f>
        <v>#REF!</v>
      </c>
      <c r="J21" s="41"/>
      <c r="K21" s="10">
        <f aca="true" t="shared" si="4" ref="K21:P21">K22</f>
        <v>0</v>
      </c>
      <c r="L21" s="10">
        <f t="shared" si="4"/>
        <v>0</v>
      </c>
      <c r="M21" s="10">
        <f t="shared" si="4"/>
        <v>300</v>
      </c>
      <c r="N21" s="10">
        <f t="shared" si="4"/>
        <v>0</v>
      </c>
      <c r="O21" s="10">
        <f t="shared" si="4"/>
        <v>0</v>
      </c>
      <c r="P21" s="252">
        <f t="shared" si="4"/>
        <v>300</v>
      </c>
      <c r="Q21" s="9">
        <f t="shared" si="1"/>
        <v>1.3065498169806792E-05</v>
      </c>
    </row>
    <row r="22" spans="1:17" ht="13.5" customHeight="1">
      <c r="A22" s="28"/>
      <c r="B22" s="11" t="s">
        <v>483</v>
      </c>
      <c r="C22" s="22"/>
      <c r="D22" s="22"/>
      <c r="E22" s="22" t="s">
        <v>484</v>
      </c>
      <c r="F22" s="8">
        <v>400</v>
      </c>
      <c r="G22" s="176">
        <v>400</v>
      </c>
      <c r="H22" s="174">
        <f t="shared" si="0"/>
        <v>100</v>
      </c>
      <c r="I22" s="9" t="e">
        <f>F22/F306</f>
        <v>#REF!</v>
      </c>
      <c r="K22" s="11">
        <v>0</v>
      </c>
      <c r="L22" s="11">
        <v>0</v>
      </c>
      <c r="M22" s="11">
        <v>300</v>
      </c>
      <c r="N22" s="11">
        <v>0</v>
      </c>
      <c r="O22" s="11">
        <v>0</v>
      </c>
      <c r="P22" s="11">
        <v>300</v>
      </c>
      <c r="Q22" s="9">
        <f t="shared" si="1"/>
        <v>1.3065498169806792E-05</v>
      </c>
    </row>
    <row r="23" spans="1:17" ht="14.25" customHeight="1">
      <c r="A23" s="23" t="s">
        <v>395</v>
      </c>
      <c r="B23" s="10" t="s">
        <v>485</v>
      </c>
      <c r="C23" s="31" t="s">
        <v>78</v>
      </c>
      <c r="D23" s="31"/>
      <c r="E23" s="31"/>
      <c r="F23" s="12">
        <f>F24</f>
        <v>42000</v>
      </c>
      <c r="G23" s="175">
        <f>G24</f>
        <v>32000</v>
      </c>
      <c r="H23" s="168">
        <f t="shared" si="0"/>
        <v>76.19047619047619</v>
      </c>
      <c r="I23" s="13" t="e">
        <f>F23/F306</f>
        <v>#REF!</v>
      </c>
      <c r="J23" s="41"/>
      <c r="K23" s="10">
        <f aca="true" t="shared" si="5" ref="K23:P23">K24</f>
        <v>0</v>
      </c>
      <c r="L23" s="10">
        <f t="shared" si="5"/>
        <v>0</v>
      </c>
      <c r="M23" s="10">
        <f t="shared" si="5"/>
        <v>17000</v>
      </c>
      <c r="N23" s="10">
        <f t="shared" si="5"/>
        <v>0</v>
      </c>
      <c r="O23" s="10">
        <f t="shared" si="5"/>
        <v>0</v>
      </c>
      <c r="P23" s="252">
        <f t="shared" si="5"/>
        <v>5000</v>
      </c>
      <c r="Q23" s="9">
        <f t="shared" si="1"/>
        <v>0.0002177583028301132</v>
      </c>
    </row>
    <row r="24" spans="1:17" ht="14.25" customHeight="1">
      <c r="A24" s="28" t="s">
        <v>478</v>
      </c>
      <c r="B24" s="11" t="s">
        <v>486</v>
      </c>
      <c r="C24" s="31"/>
      <c r="D24" s="31" t="s">
        <v>80</v>
      </c>
      <c r="E24" s="31"/>
      <c r="F24" s="12">
        <f>F25+F26+F27</f>
        <v>42000</v>
      </c>
      <c r="G24" s="175">
        <f>G25+G26+G27+G28</f>
        <v>32000</v>
      </c>
      <c r="H24" s="168">
        <f t="shared" si="0"/>
        <v>76.19047619047619</v>
      </c>
      <c r="I24" s="13" t="e">
        <f>F24/F306</f>
        <v>#REF!</v>
      </c>
      <c r="J24" s="41"/>
      <c r="K24" s="10">
        <f aca="true" t="shared" si="6" ref="K24:P24">K25+K26+K27+K28</f>
        <v>0</v>
      </c>
      <c r="L24" s="10">
        <f t="shared" si="6"/>
        <v>0</v>
      </c>
      <c r="M24" s="10">
        <f t="shared" si="6"/>
        <v>17000</v>
      </c>
      <c r="N24" s="10">
        <f t="shared" si="6"/>
        <v>0</v>
      </c>
      <c r="O24" s="10">
        <f t="shared" si="6"/>
        <v>0</v>
      </c>
      <c r="P24" s="252">
        <f t="shared" si="6"/>
        <v>5000</v>
      </c>
      <c r="Q24" s="9">
        <f t="shared" si="1"/>
        <v>0.0002177583028301132</v>
      </c>
    </row>
    <row r="25" spans="1:17" ht="27.75" customHeight="1">
      <c r="A25" s="28"/>
      <c r="B25" s="14" t="s">
        <v>487</v>
      </c>
      <c r="C25" s="22"/>
      <c r="D25" s="22"/>
      <c r="E25" s="22" t="s">
        <v>488</v>
      </c>
      <c r="F25" s="8">
        <v>17000</v>
      </c>
      <c r="G25" s="176">
        <v>18200</v>
      </c>
      <c r="H25" s="174">
        <f t="shared" si="0"/>
        <v>107.05882352941177</v>
      </c>
      <c r="I25" s="9" t="e">
        <f>F25/F306</f>
        <v>#REF!</v>
      </c>
      <c r="K25" s="11">
        <v>0</v>
      </c>
      <c r="L25" s="11">
        <v>0</v>
      </c>
      <c r="M25" s="11">
        <v>1747</v>
      </c>
      <c r="N25" s="11">
        <v>0</v>
      </c>
      <c r="O25" s="11">
        <v>0</v>
      </c>
      <c r="P25" s="11">
        <v>1900</v>
      </c>
      <c r="Q25" s="9">
        <f t="shared" si="1"/>
        <v>8.274815507544302E-05</v>
      </c>
    </row>
    <row r="26" spans="1:17" ht="14.25" customHeight="1">
      <c r="A26" s="28"/>
      <c r="B26" s="11" t="s">
        <v>489</v>
      </c>
      <c r="C26" s="22"/>
      <c r="D26" s="22"/>
      <c r="E26" s="22" t="s">
        <v>490</v>
      </c>
      <c r="F26" s="8">
        <v>18000</v>
      </c>
      <c r="G26" s="176">
        <v>9400</v>
      </c>
      <c r="H26" s="174">
        <f t="shared" si="0"/>
        <v>52.22222222222223</v>
      </c>
      <c r="I26" s="9" t="e">
        <f>F26/F306</f>
        <v>#REF!</v>
      </c>
      <c r="K26" s="11">
        <v>0</v>
      </c>
      <c r="L26" s="11">
        <v>0</v>
      </c>
      <c r="M26" s="11">
        <v>7749</v>
      </c>
      <c r="N26" s="11">
        <v>0</v>
      </c>
      <c r="O26" s="11">
        <v>0</v>
      </c>
      <c r="P26" s="11">
        <v>2900</v>
      </c>
      <c r="Q26" s="9">
        <f t="shared" si="1"/>
        <v>0.00012629981564146565</v>
      </c>
    </row>
    <row r="27" spans="1:17" ht="14.25" customHeight="1">
      <c r="A27" s="28"/>
      <c r="B27" s="14" t="s">
        <v>479</v>
      </c>
      <c r="C27" s="22"/>
      <c r="D27" s="22"/>
      <c r="E27" s="22" t="s">
        <v>480</v>
      </c>
      <c r="F27" s="8">
        <v>7000</v>
      </c>
      <c r="G27" s="176">
        <v>4400</v>
      </c>
      <c r="H27" s="174">
        <f t="shared" si="0"/>
        <v>62.857142857142854</v>
      </c>
      <c r="I27" s="9" t="e">
        <f>F27/F306</f>
        <v>#REF!</v>
      </c>
      <c r="K27" s="11">
        <v>0</v>
      </c>
      <c r="L27" s="11">
        <v>0</v>
      </c>
      <c r="M27" s="11">
        <v>200</v>
      </c>
      <c r="N27" s="11">
        <v>0</v>
      </c>
      <c r="O27" s="11">
        <v>0</v>
      </c>
      <c r="P27" s="11">
        <v>200</v>
      </c>
      <c r="Q27" s="9">
        <f t="shared" si="1"/>
        <v>8.710332113204528E-06</v>
      </c>
    </row>
    <row r="28" spans="1:17" ht="12.75" customHeight="1" hidden="1">
      <c r="A28" s="28"/>
      <c r="B28" s="14" t="s">
        <v>491</v>
      </c>
      <c r="C28" s="22"/>
      <c r="D28" s="22"/>
      <c r="E28" s="22" t="s">
        <v>492</v>
      </c>
      <c r="F28" s="8"/>
      <c r="G28" s="176">
        <v>0</v>
      </c>
      <c r="H28" s="174"/>
      <c r="I28" s="9"/>
      <c r="K28" s="11">
        <v>0</v>
      </c>
      <c r="L28" s="11">
        <v>0</v>
      </c>
      <c r="M28" s="11">
        <v>7304</v>
      </c>
      <c r="N28" s="11">
        <v>0</v>
      </c>
      <c r="O28" s="11">
        <v>0</v>
      </c>
      <c r="P28" s="11">
        <v>0</v>
      </c>
      <c r="Q28" s="9">
        <f t="shared" si="1"/>
        <v>0</v>
      </c>
    </row>
    <row r="29" spans="1:17" ht="25.5">
      <c r="A29" s="23" t="s">
        <v>397</v>
      </c>
      <c r="B29" s="7" t="s">
        <v>493</v>
      </c>
      <c r="C29" s="31" t="s">
        <v>93</v>
      </c>
      <c r="D29" s="22"/>
      <c r="E29" s="22"/>
      <c r="F29" s="8">
        <f>F30</f>
        <v>576998</v>
      </c>
      <c r="G29" s="175">
        <f>G30</f>
        <v>906816</v>
      </c>
      <c r="H29" s="168">
        <f t="shared" si="0"/>
        <v>157.1610300209013</v>
      </c>
      <c r="I29" s="13" t="e">
        <f>F29/F306</f>
        <v>#REF!</v>
      </c>
      <c r="J29" s="41"/>
      <c r="K29" s="10">
        <f aca="true" t="shared" si="7" ref="K29:P29">K30</f>
        <v>0</v>
      </c>
      <c r="L29" s="10">
        <f t="shared" si="7"/>
        <v>200000</v>
      </c>
      <c r="M29" s="10">
        <f t="shared" si="7"/>
        <v>569480</v>
      </c>
      <c r="N29" s="10">
        <f t="shared" si="7"/>
        <v>0</v>
      </c>
      <c r="O29" s="10">
        <f t="shared" si="7"/>
        <v>0</v>
      </c>
      <c r="P29" s="252">
        <f t="shared" si="7"/>
        <v>454339</v>
      </c>
      <c r="Q29" s="9">
        <f t="shared" si="1"/>
        <v>0.01978721790990616</v>
      </c>
    </row>
    <row r="30" spans="1:17" ht="26.25" customHeight="1">
      <c r="A30" s="23" t="s">
        <v>478</v>
      </c>
      <c r="B30" s="7" t="s">
        <v>494</v>
      </c>
      <c r="C30" s="31"/>
      <c r="D30" s="31" t="s">
        <v>95</v>
      </c>
      <c r="E30" s="31"/>
      <c r="F30" s="12">
        <f>F33+F35</f>
        <v>576998</v>
      </c>
      <c r="G30" s="175">
        <f>G33+G35+G34</f>
        <v>906816</v>
      </c>
      <c r="H30" s="168">
        <f t="shared" si="0"/>
        <v>157.1610300209013</v>
      </c>
      <c r="I30" s="13" t="e">
        <f>F30/F306</f>
        <v>#REF!</v>
      </c>
      <c r="J30" s="41"/>
      <c r="K30" s="10">
        <f>K33+K35+K34</f>
        <v>0</v>
      </c>
      <c r="L30" s="10">
        <f>L33+L35+L34</f>
        <v>200000</v>
      </c>
      <c r="M30" s="10">
        <f>M33+M34+M35+M32+M31</f>
        <v>569480</v>
      </c>
      <c r="N30" s="10">
        <f>N33+N34+N35+N32+N31</f>
        <v>0</v>
      </c>
      <c r="O30" s="10">
        <f>O33+O34+O35+O32+O31</f>
        <v>0</v>
      </c>
      <c r="P30" s="252">
        <f>P33+P34+P35+P32+P31</f>
        <v>454339</v>
      </c>
      <c r="Q30" s="9">
        <f t="shared" si="1"/>
        <v>0.01978721790990616</v>
      </c>
    </row>
    <row r="31" spans="1:17" ht="26.25" customHeight="1">
      <c r="A31" s="25"/>
      <c r="B31" s="14" t="s">
        <v>487</v>
      </c>
      <c r="C31" s="35"/>
      <c r="D31" s="35"/>
      <c r="E31" s="35" t="s">
        <v>488</v>
      </c>
      <c r="F31" s="151"/>
      <c r="G31" s="185"/>
      <c r="H31" s="186"/>
      <c r="I31" s="187"/>
      <c r="J31" s="163"/>
      <c r="K31" s="24"/>
      <c r="L31" s="24"/>
      <c r="M31" s="24">
        <v>8213</v>
      </c>
      <c r="N31" s="24">
        <v>0</v>
      </c>
      <c r="O31" s="24">
        <v>0</v>
      </c>
      <c r="P31" s="11">
        <v>9201</v>
      </c>
      <c r="Q31" s="9">
        <f t="shared" si="1"/>
        <v>0.0004007188288679743</v>
      </c>
    </row>
    <row r="32" spans="1:17" ht="17.25" customHeight="1">
      <c r="A32" s="25"/>
      <c r="B32" s="11" t="s">
        <v>489</v>
      </c>
      <c r="C32" s="35"/>
      <c r="D32" s="35"/>
      <c r="E32" s="35" t="s">
        <v>490</v>
      </c>
      <c r="F32" s="151"/>
      <c r="G32" s="185"/>
      <c r="H32" s="186"/>
      <c r="I32" s="187"/>
      <c r="J32" s="163"/>
      <c r="K32" s="24"/>
      <c r="L32" s="24"/>
      <c r="M32" s="24">
        <v>4300</v>
      </c>
      <c r="N32" s="24">
        <v>0</v>
      </c>
      <c r="O32" s="24">
        <v>0</v>
      </c>
      <c r="P32" s="11">
        <v>6780</v>
      </c>
      <c r="Q32" s="9">
        <f t="shared" si="1"/>
        <v>0.0002952802586376335</v>
      </c>
    </row>
    <row r="33" spans="1:17" ht="26.25" customHeight="1">
      <c r="A33" s="25"/>
      <c r="B33" s="33" t="s">
        <v>495</v>
      </c>
      <c r="C33" s="22"/>
      <c r="D33" s="22"/>
      <c r="E33" s="22" t="s">
        <v>496</v>
      </c>
      <c r="F33" s="8">
        <v>570998</v>
      </c>
      <c r="G33" s="176">
        <v>882016</v>
      </c>
      <c r="H33" s="174">
        <f t="shared" si="0"/>
        <v>154.46919253657632</v>
      </c>
      <c r="I33" s="9" t="e">
        <f>F33/F306</f>
        <v>#REF!</v>
      </c>
      <c r="K33" s="11">
        <v>0</v>
      </c>
      <c r="L33" s="11">
        <v>200000</v>
      </c>
      <c r="M33" s="11">
        <v>547167</v>
      </c>
      <c r="N33" s="11">
        <v>0</v>
      </c>
      <c r="O33" s="11">
        <v>0</v>
      </c>
      <c r="P33" s="11">
        <v>425245</v>
      </c>
      <c r="Q33" s="9">
        <f t="shared" si="1"/>
        <v>0.018520125897398296</v>
      </c>
    </row>
    <row r="34" spans="1:17" ht="22.5" customHeight="1">
      <c r="A34" s="25"/>
      <c r="B34" s="33" t="s">
        <v>479</v>
      </c>
      <c r="C34" s="22"/>
      <c r="D34" s="22"/>
      <c r="E34" s="22" t="s">
        <v>480</v>
      </c>
      <c r="F34" s="8"/>
      <c r="G34" s="176">
        <v>7000</v>
      </c>
      <c r="H34" s="174"/>
      <c r="I34" s="9"/>
      <c r="K34" s="11">
        <v>0</v>
      </c>
      <c r="L34" s="11">
        <v>0</v>
      </c>
      <c r="M34" s="11">
        <v>800</v>
      </c>
      <c r="N34" s="11">
        <v>0</v>
      </c>
      <c r="O34" s="11">
        <v>0</v>
      </c>
      <c r="P34" s="11">
        <v>5163</v>
      </c>
      <c r="Q34" s="9">
        <f t="shared" si="1"/>
        <v>0.00022485722350237488</v>
      </c>
    </row>
    <row r="35" spans="1:17" ht="24" customHeight="1">
      <c r="A35" s="23"/>
      <c r="B35" s="33" t="s">
        <v>497</v>
      </c>
      <c r="C35" s="22"/>
      <c r="D35" s="22"/>
      <c r="E35" s="22" t="s">
        <v>492</v>
      </c>
      <c r="F35" s="8">
        <v>6000</v>
      </c>
      <c r="G35" s="176">
        <v>17800</v>
      </c>
      <c r="H35" s="174">
        <f t="shared" si="0"/>
        <v>296.6666666666667</v>
      </c>
      <c r="I35" s="9" t="e">
        <f>F35/F306</f>
        <v>#REF!</v>
      </c>
      <c r="K35" s="11">
        <v>0</v>
      </c>
      <c r="L35" s="11">
        <v>0</v>
      </c>
      <c r="M35" s="11">
        <v>9000</v>
      </c>
      <c r="N35" s="11">
        <v>0</v>
      </c>
      <c r="O35" s="11">
        <v>0</v>
      </c>
      <c r="P35" s="11">
        <v>7950</v>
      </c>
      <c r="Q35" s="9">
        <f t="shared" si="1"/>
        <v>0.00034623570149988</v>
      </c>
    </row>
    <row r="36" spans="1:17" ht="22.5" customHeight="1">
      <c r="A36" s="23" t="s">
        <v>400</v>
      </c>
      <c r="B36" s="177" t="s">
        <v>498</v>
      </c>
      <c r="C36" s="87">
        <v>750</v>
      </c>
      <c r="D36" s="37"/>
      <c r="E36" s="37"/>
      <c r="F36" s="8">
        <f>F37</f>
        <v>585000</v>
      </c>
      <c r="G36" s="175">
        <f>G37</f>
        <v>740250</v>
      </c>
      <c r="H36" s="168">
        <f t="shared" si="0"/>
        <v>126.53846153846153</v>
      </c>
      <c r="I36" s="13" t="e">
        <f>F36/F306</f>
        <v>#REF!</v>
      </c>
      <c r="J36" s="41"/>
      <c r="K36" s="10">
        <f>K37</f>
        <v>0</v>
      </c>
      <c r="L36" s="10">
        <f>L37</f>
        <v>0</v>
      </c>
      <c r="M36" s="10">
        <f>M37+M44</f>
        <v>567720</v>
      </c>
      <c r="N36" s="10">
        <f>N37+N44</f>
        <v>0</v>
      </c>
      <c r="O36" s="10">
        <f>O37+O44</f>
        <v>0</v>
      </c>
      <c r="P36" s="10">
        <f>P37+P44</f>
        <v>536361</v>
      </c>
      <c r="Q36" s="9">
        <f t="shared" si="1"/>
        <v>0.02335941221285247</v>
      </c>
    </row>
    <row r="37" spans="1:17" ht="22.5" customHeight="1">
      <c r="A37" s="23" t="s">
        <v>478</v>
      </c>
      <c r="B37" s="10" t="s">
        <v>499</v>
      </c>
      <c r="C37" s="87"/>
      <c r="D37" s="87">
        <v>75020</v>
      </c>
      <c r="E37" s="87"/>
      <c r="F37" s="12">
        <f>F38+F39+F40+F41+F42+F43</f>
        <v>585000</v>
      </c>
      <c r="G37" s="175">
        <f>G38+G39+G40+G41+G42+G43</f>
        <v>740250</v>
      </c>
      <c r="H37" s="168">
        <f t="shared" si="0"/>
        <v>126.53846153846153</v>
      </c>
      <c r="I37" s="13" t="e">
        <f>F37/F306</f>
        <v>#REF!</v>
      </c>
      <c r="J37" s="41"/>
      <c r="K37" s="10">
        <f>K38+K39+K40+K41+K43</f>
        <v>0</v>
      </c>
      <c r="L37" s="10">
        <f>L38+L39+L40+L41+L43</f>
        <v>0</v>
      </c>
      <c r="M37" s="10">
        <f>M38+M39+M40+M41+M43+M42</f>
        <v>564670</v>
      </c>
      <c r="N37" s="10">
        <f>N38+N39+N40+N41+N43+N42</f>
        <v>0</v>
      </c>
      <c r="O37" s="10">
        <f>O38+O39+O40+O41+O43+O42</f>
        <v>0</v>
      </c>
      <c r="P37" s="252">
        <f>P38+P39+P40+P41+P43+P42</f>
        <v>536361</v>
      </c>
      <c r="Q37" s="9">
        <f t="shared" si="1"/>
        <v>0.02335941221285247</v>
      </c>
    </row>
    <row r="38" spans="1:17" ht="22.5" customHeight="1">
      <c r="A38" s="28"/>
      <c r="B38" s="11" t="s">
        <v>500</v>
      </c>
      <c r="C38" s="22"/>
      <c r="D38" s="22"/>
      <c r="E38" s="22" t="s">
        <v>501</v>
      </c>
      <c r="F38" s="8">
        <v>500000</v>
      </c>
      <c r="G38" s="176">
        <v>650000</v>
      </c>
      <c r="H38" s="174">
        <f t="shared" si="0"/>
        <v>130</v>
      </c>
      <c r="I38" s="9" t="e">
        <f>F38/F306</f>
        <v>#REF!</v>
      </c>
      <c r="K38" s="11">
        <v>0</v>
      </c>
      <c r="L38" s="11">
        <v>0</v>
      </c>
      <c r="M38" s="11">
        <v>529000</v>
      </c>
      <c r="N38" s="11">
        <v>0</v>
      </c>
      <c r="O38" s="11">
        <v>0</v>
      </c>
      <c r="P38" s="11">
        <v>526304</v>
      </c>
      <c r="Q38" s="9">
        <f t="shared" si="1"/>
        <v>0.02292141316253998</v>
      </c>
    </row>
    <row r="39" spans="1:17" ht="22.5" customHeight="1">
      <c r="A39" s="28"/>
      <c r="B39" s="11" t="s">
        <v>483</v>
      </c>
      <c r="C39" s="22"/>
      <c r="D39" s="22"/>
      <c r="E39" s="22" t="s">
        <v>484</v>
      </c>
      <c r="F39" s="8">
        <v>10000</v>
      </c>
      <c r="G39" s="176">
        <v>10000</v>
      </c>
      <c r="H39" s="174">
        <f t="shared" si="0"/>
        <v>100</v>
      </c>
      <c r="I39" s="9" t="e">
        <f>F39/F306</f>
        <v>#REF!</v>
      </c>
      <c r="K39" s="11">
        <v>0</v>
      </c>
      <c r="L39" s="11">
        <v>0</v>
      </c>
      <c r="M39" s="11">
        <v>1800</v>
      </c>
      <c r="N39" s="11">
        <v>0</v>
      </c>
      <c r="O39" s="11">
        <v>0</v>
      </c>
      <c r="P39" s="11">
        <v>1800</v>
      </c>
      <c r="Q39" s="9">
        <f t="shared" si="1"/>
        <v>7.839298901884075E-05</v>
      </c>
    </row>
    <row r="40" spans="1:17" ht="27" customHeight="1">
      <c r="A40" s="28"/>
      <c r="B40" s="14" t="s">
        <v>487</v>
      </c>
      <c r="C40" s="22"/>
      <c r="D40" s="22"/>
      <c r="E40" s="22" t="s">
        <v>488</v>
      </c>
      <c r="F40" s="8">
        <v>2000</v>
      </c>
      <c r="G40" s="176">
        <v>5000</v>
      </c>
      <c r="H40" s="174">
        <f t="shared" si="0"/>
        <v>250</v>
      </c>
      <c r="I40" s="9" t="e">
        <f>F40/F306</f>
        <v>#REF!</v>
      </c>
      <c r="K40" s="11">
        <v>0</v>
      </c>
      <c r="L40" s="11">
        <v>0</v>
      </c>
      <c r="M40" s="11">
        <v>1070</v>
      </c>
      <c r="N40" s="11">
        <v>0</v>
      </c>
      <c r="O40" s="11">
        <v>0</v>
      </c>
      <c r="P40" s="11">
        <v>492</v>
      </c>
      <c r="Q40" s="9">
        <f t="shared" si="1"/>
        <v>2.142741699848314E-05</v>
      </c>
    </row>
    <row r="41" spans="1:17" ht="20.25" customHeight="1" hidden="1">
      <c r="A41" s="28"/>
      <c r="B41" s="14" t="s">
        <v>489</v>
      </c>
      <c r="C41" s="22"/>
      <c r="D41" s="22"/>
      <c r="E41" s="22" t="s">
        <v>490</v>
      </c>
      <c r="F41" s="8">
        <v>2000</v>
      </c>
      <c r="G41" s="176">
        <v>5250</v>
      </c>
      <c r="H41" s="174">
        <f t="shared" si="0"/>
        <v>262.5</v>
      </c>
      <c r="I41" s="9" t="e">
        <f>F41/F306</f>
        <v>#REF!</v>
      </c>
      <c r="K41" s="11">
        <v>0</v>
      </c>
      <c r="L41" s="11">
        <v>0</v>
      </c>
      <c r="M41" s="11">
        <v>3800</v>
      </c>
      <c r="N41" s="11">
        <v>0</v>
      </c>
      <c r="O41" s="11">
        <v>0</v>
      </c>
      <c r="P41" s="11">
        <v>0</v>
      </c>
      <c r="Q41" s="9">
        <f t="shared" si="1"/>
        <v>0</v>
      </c>
    </row>
    <row r="42" spans="1:17" ht="27" customHeight="1" hidden="1">
      <c r="A42" s="28"/>
      <c r="B42" s="33" t="s">
        <v>495</v>
      </c>
      <c r="C42" s="22"/>
      <c r="D42" s="22"/>
      <c r="E42" s="22" t="s">
        <v>496</v>
      </c>
      <c r="F42" s="8">
        <v>10000</v>
      </c>
      <c r="G42" s="176">
        <v>0</v>
      </c>
      <c r="H42" s="174">
        <f t="shared" si="0"/>
        <v>0</v>
      </c>
      <c r="I42" s="9" t="e">
        <f>F42/F306</f>
        <v>#REF!</v>
      </c>
      <c r="K42" s="11"/>
      <c r="L42" s="11"/>
      <c r="M42" s="11">
        <v>4000</v>
      </c>
      <c r="N42" s="11">
        <v>0</v>
      </c>
      <c r="O42" s="11">
        <v>0</v>
      </c>
      <c r="P42" s="11">
        <v>0</v>
      </c>
      <c r="Q42" s="9">
        <f t="shared" si="1"/>
        <v>0</v>
      </c>
    </row>
    <row r="43" spans="1:17" ht="21.75" customHeight="1">
      <c r="A43" s="28"/>
      <c r="B43" s="14" t="s">
        <v>502</v>
      </c>
      <c r="C43" s="22"/>
      <c r="D43" s="22"/>
      <c r="E43" s="22" t="s">
        <v>492</v>
      </c>
      <c r="F43" s="8">
        <v>61000</v>
      </c>
      <c r="G43" s="176">
        <v>70000</v>
      </c>
      <c r="H43" s="174">
        <f t="shared" si="0"/>
        <v>114.75409836065573</v>
      </c>
      <c r="I43" s="9" t="e">
        <f>F43/F306</f>
        <v>#REF!</v>
      </c>
      <c r="K43" s="11">
        <v>0</v>
      </c>
      <c r="L43" s="11">
        <v>0</v>
      </c>
      <c r="M43" s="11">
        <v>25000</v>
      </c>
      <c r="N43" s="11">
        <v>0</v>
      </c>
      <c r="O43" s="11">
        <v>0</v>
      </c>
      <c r="P43" s="11">
        <v>7765</v>
      </c>
      <c r="Q43" s="9">
        <f t="shared" si="1"/>
        <v>0.0003381786442951658</v>
      </c>
    </row>
    <row r="44" spans="1:17" ht="21.75" customHeight="1" hidden="1">
      <c r="A44" s="88" t="s">
        <v>481</v>
      </c>
      <c r="B44" s="7" t="s">
        <v>124</v>
      </c>
      <c r="C44" s="31"/>
      <c r="D44" s="31" t="s">
        <v>123</v>
      </c>
      <c r="E44" s="31"/>
      <c r="F44" s="12"/>
      <c r="G44" s="175"/>
      <c r="H44" s="168"/>
      <c r="I44" s="13"/>
      <c r="J44" s="41"/>
      <c r="K44" s="10"/>
      <c r="L44" s="10"/>
      <c r="M44" s="10">
        <f>M45</f>
        <v>3050</v>
      </c>
      <c r="N44" s="10">
        <f>N45</f>
        <v>0</v>
      </c>
      <c r="O44" s="10">
        <f>O45</f>
        <v>0</v>
      </c>
      <c r="P44" s="10">
        <f>P45</f>
        <v>0</v>
      </c>
      <c r="Q44" s="9">
        <f t="shared" si="1"/>
        <v>0</v>
      </c>
    </row>
    <row r="45" spans="1:17" ht="29.25" customHeight="1" hidden="1">
      <c r="A45" s="55"/>
      <c r="B45" s="14" t="s">
        <v>596</v>
      </c>
      <c r="C45" s="22"/>
      <c r="D45" s="22"/>
      <c r="E45" s="22" t="s">
        <v>595</v>
      </c>
      <c r="F45" s="8"/>
      <c r="G45" s="176"/>
      <c r="H45" s="174"/>
      <c r="I45" s="9"/>
      <c r="K45" s="11"/>
      <c r="L45" s="11"/>
      <c r="M45" s="11">
        <v>3050</v>
      </c>
      <c r="N45" s="11">
        <v>0</v>
      </c>
      <c r="O45" s="11">
        <v>0</v>
      </c>
      <c r="P45" s="11">
        <v>0</v>
      </c>
      <c r="Q45" s="9">
        <f t="shared" si="1"/>
        <v>0</v>
      </c>
    </row>
    <row r="46" spans="1:17" ht="42" customHeight="1">
      <c r="A46" s="88" t="s">
        <v>403</v>
      </c>
      <c r="B46" s="178" t="s">
        <v>503</v>
      </c>
      <c r="C46" s="87">
        <v>754</v>
      </c>
      <c r="D46" s="37"/>
      <c r="E46" s="37"/>
      <c r="F46" s="8">
        <f>F47+F49</f>
        <v>18600</v>
      </c>
      <c r="G46" s="175">
        <f>G47+G49</f>
        <v>19700</v>
      </c>
      <c r="H46" s="168">
        <f t="shared" si="0"/>
        <v>105.91397849462365</v>
      </c>
      <c r="I46" s="13" t="e">
        <f>F46/F306</f>
        <v>#REF!</v>
      </c>
      <c r="J46" s="41"/>
      <c r="K46" s="10">
        <f aca="true" t="shared" si="8" ref="K46:P46">K47+K49</f>
        <v>0</v>
      </c>
      <c r="L46" s="10">
        <f t="shared" si="8"/>
        <v>0</v>
      </c>
      <c r="M46" s="10">
        <f t="shared" si="8"/>
        <v>6000</v>
      </c>
      <c r="N46" s="10">
        <f t="shared" si="8"/>
        <v>0</v>
      </c>
      <c r="O46" s="10">
        <f t="shared" si="8"/>
        <v>0</v>
      </c>
      <c r="P46" s="252">
        <f t="shared" si="8"/>
        <v>1000</v>
      </c>
      <c r="Q46" s="9">
        <f t="shared" si="1"/>
        <v>4.355166056602264E-05</v>
      </c>
    </row>
    <row r="47" spans="1:17" ht="21.75" customHeight="1" hidden="1">
      <c r="A47" s="88" t="s">
        <v>478</v>
      </c>
      <c r="B47" s="152" t="s">
        <v>128</v>
      </c>
      <c r="C47" s="87"/>
      <c r="D47" s="87">
        <v>75405</v>
      </c>
      <c r="E47" s="87"/>
      <c r="F47" s="12">
        <f>F48</f>
        <v>9000</v>
      </c>
      <c r="G47" s="175">
        <f>G48</f>
        <v>9700</v>
      </c>
      <c r="H47" s="168">
        <f t="shared" si="0"/>
        <v>107.77777777777777</v>
      </c>
      <c r="I47" s="13" t="e">
        <f>F47/F306</f>
        <v>#REF!</v>
      </c>
      <c r="J47" s="41"/>
      <c r="K47" s="10">
        <f aca="true" t="shared" si="9" ref="K47:P47">K48</f>
        <v>0</v>
      </c>
      <c r="L47" s="10">
        <f t="shared" si="9"/>
        <v>0</v>
      </c>
      <c r="M47" s="10">
        <f t="shared" si="9"/>
        <v>5000</v>
      </c>
      <c r="N47" s="10">
        <f t="shared" si="9"/>
        <v>0</v>
      </c>
      <c r="O47" s="10">
        <f t="shared" si="9"/>
        <v>0</v>
      </c>
      <c r="P47" s="252">
        <f t="shared" si="9"/>
        <v>0</v>
      </c>
      <c r="Q47" s="9">
        <f t="shared" si="1"/>
        <v>0</v>
      </c>
    </row>
    <row r="48" spans="1:17" ht="19.5" customHeight="1" hidden="1">
      <c r="A48" s="64"/>
      <c r="B48" s="179" t="s">
        <v>479</v>
      </c>
      <c r="C48" s="22"/>
      <c r="D48" s="22"/>
      <c r="E48" s="22" t="s">
        <v>480</v>
      </c>
      <c r="F48" s="8">
        <v>9000</v>
      </c>
      <c r="G48" s="176">
        <v>9700</v>
      </c>
      <c r="H48" s="174">
        <f t="shared" si="0"/>
        <v>107.77777777777777</v>
      </c>
      <c r="I48" s="9" t="e">
        <f>F48/F306</f>
        <v>#REF!</v>
      </c>
      <c r="K48" s="11">
        <v>0</v>
      </c>
      <c r="L48" s="11">
        <v>0</v>
      </c>
      <c r="M48" s="11">
        <v>5000</v>
      </c>
      <c r="N48" s="11">
        <v>0</v>
      </c>
      <c r="O48" s="11">
        <v>0</v>
      </c>
      <c r="P48" s="11">
        <v>0</v>
      </c>
      <c r="Q48" s="9">
        <f t="shared" si="1"/>
        <v>0</v>
      </c>
    </row>
    <row r="49" spans="1:17" ht="25.5" customHeight="1">
      <c r="A49" s="23" t="s">
        <v>478</v>
      </c>
      <c r="B49" s="7" t="s">
        <v>352</v>
      </c>
      <c r="C49" s="31"/>
      <c r="D49" s="31" t="s">
        <v>145</v>
      </c>
      <c r="E49" s="31"/>
      <c r="F49" s="12">
        <f>F50</f>
        <v>9600</v>
      </c>
      <c r="G49" s="175">
        <f>G50</f>
        <v>10000</v>
      </c>
      <c r="H49" s="168">
        <f t="shared" si="0"/>
        <v>104.16666666666667</v>
      </c>
      <c r="I49" s="13" t="e">
        <f>F49/F306</f>
        <v>#REF!</v>
      </c>
      <c r="J49" s="41"/>
      <c r="K49" s="10">
        <f aca="true" t="shared" si="10" ref="K49:P49">K50</f>
        <v>0</v>
      </c>
      <c r="L49" s="10">
        <f t="shared" si="10"/>
        <v>0</v>
      </c>
      <c r="M49" s="10">
        <f t="shared" si="10"/>
        <v>1000</v>
      </c>
      <c r="N49" s="10">
        <f t="shared" si="10"/>
        <v>0</v>
      </c>
      <c r="O49" s="10">
        <f t="shared" si="10"/>
        <v>0</v>
      </c>
      <c r="P49" s="252">
        <f t="shared" si="10"/>
        <v>1000</v>
      </c>
      <c r="Q49" s="9">
        <f aca="true" t="shared" si="11" ref="Q49:Q115">P49/$P$306</f>
        <v>4.355166056602264E-05</v>
      </c>
    </row>
    <row r="50" spans="1:17" ht="23.25" customHeight="1">
      <c r="A50" s="28"/>
      <c r="B50" s="14" t="s">
        <v>479</v>
      </c>
      <c r="C50" s="22"/>
      <c r="D50" s="22"/>
      <c r="E50" s="22" t="s">
        <v>480</v>
      </c>
      <c r="F50" s="8">
        <v>9600</v>
      </c>
      <c r="G50" s="176">
        <v>10000</v>
      </c>
      <c r="H50" s="174">
        <f t="shared" si="0"/>
        <v>104.16666666666667</v>
      </c>
      <c r="I50" s="9" t="e">
        <f>F50/F306</f>
        <v>#REF!</v>
      </c>
      <c r="K50" s="11">
        <v>0</v>
      </c>
      <c r="L50" s="11">
        <v>0</v>
      </c>
      <c r="M50" s="11">
        <v>1000</v>
      </c>
      <c r="N50" s="11">
        <v>0</v>
      </c>
      <c r="O50" s="11">
        <v>0</v>
      </c>
      <c r="P50" s="11">
        <v>1000</v>
      </c>
      <c r="Q50" s="9">
        <f t="shared" si="11"/>
        <v>4.355166056602264E-05</v>
      </c>
    </row>
    <row r="51" spans="1:17" ht="73.5" customHeight="1">
      <c r="A51" s="23" t="s">
        <v>438</v>
      </c>
      <c r="B51" s="180" t="s">
        <v>504</v>
      </c>
      <c r="C51" s="31" t="s">
        <v>505</v>
      </c>
      <c r="D51" s="22"/>
      <c r="E51" s="22"/>
      <c r="F51" s="8">
        <f>F52</f>
        <v>285742</v>
      </c>
      <c r="G51" s="175">
        <f>G52</f>
        <v>239445</v>
      </c>
      <c r="H51" s="168">
        <f t="shared" si="0"/>
        <v>83.79762163070183</v>
      </c>
      <c r="I51" s="13" t="e">
        <f>F51/F306</f>
        <v>#REF!</v>
      </c>
      <c r="J51" s="41"/>
      <c r="K51" s="10">
        <f aca="true" t="shared" si="12" ref="K51:M52">K52</f>
        <v>0</v>
      </c>
      <c r="L51" s="10">
        <f t="shared" si="12"/>
        <v>0</v>
      </c>
      <c r="M51" s="10">
        <f t="shared" si="12"/>
        <v>134163</v>
      </c>
      <c r="N51" s="10">
        <f aca="true" t="shared" si="13" ref="N51:P52">N52</f>
        <v>0</v>
      </c>
      <c r="O51" s="10">
        <f t="shared" si="13"/>
        <v>0</v>
      </c>
      <c r="P51" s="252">
        <f t="shared" si="13"/>
        <v>141331</v>
      </c>
      <c r="Q51" s="9">
        <f t="shared" si="11"/>
        <v>0.0061551997394565456</v>
      </c>
    </row>
    <row r="52" spans="1:17" ht="42" customHeight="1">
      <c r="A52" s="28" t="s">
        <v>478</v>
      </c>
      <c r="B52" s="15" t="s">
        <v>506</v>
      </c>
      <c r="C52" s="22"/>
      <c r="D52" s="31" t="s">
        <v>507</v>
      </c>
      <c r="E52" s="31"/>
      <c r="F52" s="12">
        <f>F53</f>
        <v>285742</v>
      </c>
      <c r="G52" s="175">
        <f>G53</f>
        <v>239445</v>
      </c>
      <c r="H52" s="168">
        <f t="shared" si="0"/>
        <v>83.79762163070183</v>
      </c>
      <c r="I52" s="13" t="e">
        <f>F52/F306</f>
        <v>#REF!</v>
      </c>
      <c r="J52" s="41"/>
      <c r="K52" s="10">
        <f t="shared" si="12"/>
        <v>0</v>
      </c>
      <c r="L52" s="10">
        <f t="shared" si="12"/>
        <v>0</v>
      </c>
      <c r="M52" s="10">
        <f t="shared" si="12"/>
        <v>134163</v>
      </c>
      <c r="N52" s="10">
        <f t="shared" si="13"/>
        <v>0</v>
      </c>
      <c r="O52" s="10">
        <f t="shared" si="13"/>
        <v>0</v>
      </c>
      <c r="P52" s="252">
        <f t="shared" si="13"/>
        <v>141331</v>
      </c>
      <c r="Q52" s="9">
        <f t="shared" si="11"/>
        <v>0.0061551997394565456</v>
      </c>
    </row>
    <row r="53" spans="1:17" ht="26.25" customHeight="1">
      <c r="A53" s="28"/>
      <c r="B53" s="14" t="s">
        <v>508</v>
      </c>
      <c r="C53" s="22"/>
      <c r="D53" s="22"/>
      <c r="E53" s="22" t="s">
        <v>509</v>
      </c>
      <c r="F53" s="8">
        <v>285742</v>
      </c>
      <c r="G53" s="176">
        <v>239445</v>
      </c>
      <c r="H53" s="174">
        <f t="shared" si="0"/>
        <v>83.79762163070183</v>
      </c>
      <c r="I53" s="9" t="e">
        <f>F53/F306</f>
        <v>#REF!</v>
      </c>
      <c r="K53" s="11">
        <v>0</v>
      </c>
      <c r="L53" s="11">
        <v>0</v>
      </c>
      <c r="M53" s="11">
        <v>134163</v>
      </c>
      <c r="N53" s="11">
        <v>0</v>
      </c>
      <c r="O53" s="11">
        <v>0</v>
      </c>
      <c r="P53" s="11">
        <v>141331</v>
      </c>
      <c r="Q53" s="9">
        <f t="shared" si="11"/>
        <v>0.0061551997394565456</v>
      </c>
    </row>
    <row r="54" spans="1:17" ht="26.25" customHeight="1">
      <c r="A54" s="23" t="s">
        <v>440</v>
      </c>
      <c r="B54" s="177" t="s">
        <v>510</v>
      </c>
      <c r="C54" s="87">
        <v>758</v>
      </c>
      <c r="D54" s="37"/>
      <c r="E54" s="37"/>
      <c r="F54" s="8">
        <f>F55+F57</f>
        <v>90000</v>
      </c>
      <c r="G54" s="175">
        <f>G57+G55</f>
        <v>100000</v>
      </c>
      <c r="H54" s="168">
        <f t="shared" si="0"/>
        <v>111.11111111111111</v>
      </c>
      <c r="I54" s="13" t="e">
        <f>F54/F306</f>
        <v>#REF!</v>
      </c>
      <c r="J54" s="41"/>
      <c r="K54" s="10">
        <f aca="true" t="shared" si="14" ref="K54:M55">K55</f>
        <v>0</v>
      </c>
      <c r="L54" s="10">
        <f t="shared" si="14"/>
        <v>0</v>
      </c>
      <c r="M54" s="10">
        <f t="shared" si="14"/>
        <v>60000</v>
      </c>
      <c r="N54" s="10">
        <f aca="true" t="shared" si="15" ref="N54:P55">N55</f>
        <v>0</v>
      </c>
      <c r="O54" s="10">
        <f t="shared" si="15"/>
        <v>0</v>
      </c>
      <c r="P54" s="252">
        <f t="shared" si="15"/>
        <v>20000</v>
      </c>
      <c r="Q54" s="9">
        <f t="shared" si="11"/>
        <v>0.0008710332113204528</v>
      </c>
    </row>
    <row r="55" spans="1:17" ht="18.75" customHeight="1">
      <c r="A55" s="55" t="s">
        <v>478</v>
      </c>
      <c r="B55" s="118" t="s">
        <v>511</v>
      </c>
      <c r="C55" s="181"/>
      <c r="D55" s="188">
        <v>75814</v>
      </c>
      <c r="E55" s="262"/>
      <c r="F55" s="192">
        <f>F56</f>
        <v>90000</v>
      </c>
      <c r="G55" s="263">
        <f>G56</f>
        <v>100000</v>
      </c>
      <c r="H55" s="168">
        <f t="shared" si="0"/>
        <v>111.11111111111111</v>
      </c>
      <c r="I55" s="264" t="e">
        <f>F55/F306</f>
        <v>#REF!</v>
      </c>
      <c r="J55" s="41"/>
      <c r="K55" s="10">
        <f t="shared" si="14"/>
        <v>0</v>
      </c>
      <c r="L55" s="10">
        <f t="shared" si="14"/>
        <v>0</v>
      </c>
      <c r="M55" s="10">
        <f t="shared" si="14"/>
        <v>60000</v>
      </c>
      <c r="N55" s="10">
        <f t="shared" si="15"/>
        <v>0</v>
      </c>
      <c r="O55" s="10">
        <f t="shared" si="15"/>
        <v>0</v>
      </c>
      <c r="P55" s="252">
        <f t="shared" si="15"/>
        <v>20000</v>
      </c>
      <c r="Q55" s="9">
        <f t="shared" si="11"/>
        <v>0.0008710332113204528</v>
      </c>
    </row>
    <row r="56" spans="1:17" ht="18.75" customHeight="1">
      <c r="A56" s="55"/>
      <c r="B56" s="118" t="s">
        <v>479</v>
      </c>
      <c r="C56" s="181"/>
      <c r="D56" s="181"/>
      <c r="E56" s="182" t="s">
        <v>480</v>
      </c>
      <c r="F56" s="148">
        <v>90000</v>
      </c>
      <c r="G56" s="183">
        <v>100000</v>
      </c>
      <c r="H56" s="174">
        <f t="shared" si="0"/>
        <v>111.11111111111111</v>
      </c>
      <c r="I56" s="184" t="e">
        <f>F56/F306</f>
        <v>#REF!</v>
      </c>
      <c r="K56" s="11">
        <v>0</v>
      </c>
      <c r="L56" s="11">
        <v>0</v>
      </c>
      <c r="M56" s="11">
        <v>60000</v>
      </c>
      <c r="N56" s="11">
        <v>0</v>
      </c>
      <c r="O56" s="11">
        <v>0</v>
      </c>
      <c r="P56" s="11">
        <v>20000</v>
      </c>
      <c r="Q56" s="9">
        <f t="shared" si="11"/>
        <v>0.0008710332113204528</v>
      </c>
    </row>
    <row r="57" spans="1:17" ht="26.25" customHeight="1" hidden="1">
      <c r="A57" s="55" t="s">
        <v>481</v>
      </c>
      <c r="B57" s="118" t="s">
        <v>512</v>
      </c>
      <c r="C57" s="181"/>
      <c r="D57" s="181">
        <v>75809</v>
      </c>
      <c r="E57" s="181"/>
      <c r="F57" s="148">
        <f>F58+F59</f>
        <v>0</v>
      </c>
      <c r="G57" s="183">
        <f>G58+G59</f>
        <v>0</v>
      </c>
      <c r="H57" s="174">
        <f t="shared" si="0"/>
      </c>
      <c r="I57" s="184" t="e">
        <f>F57/F306</f>
        <v>#REF!</v>
      </c>
      <c r="K57" s="11"/>
      <c r="L57" s="11"/>
      <c r="M57" s="11"/>
      <c r="N57" s="11"/>
      <c r="O57" s="11"/>
      <c r="P57" s="11"/>
      <c r="Q57" s="9">
        <f t="shared" si="11"/>
        <v>0</v>
      </c>
    </row>
    <row r="58" spans="1:17" ht="52.5" customHeight="1" hidden="1">
      <c r="A58" s="55"/>
      <c r="B58" s="118" t="s">
        <v>513</v>
      </c>
      <c r="C58" s="181"/>
      <c r="D58" s="181"/>
      <c r="E58" s="181">
        <v>271</v>
      </c>
      <c r="F58" s="148">
        <v>0</v>
      </c>
      <c r="G58" s="183">
        <v>0</v>
      </c>
      <c r="H58" s="174">
        <f t="shared" si="0"/>
      </c>
      <c r="I58" s="184" t="e">
        <f>F58/F306</f>
        <v>#REF!</v>
      </c>
      <c r="K58" s="11"/>
      <c r="L58" s="11"/>
      <c r="M58" s="11"/>
      <c r="N58" s="11"/>
      <c r="O58" s="11"/>
      <c r="P58" s="11"/>
      <c r="Q58" s="9">
        <f t="shared" si="11"/>
        <v>0</v>
      </c>
    </row>
    <row r="59" spans="1:17" ht="63.75" customHeight="1" hidden="1">
      <c r="A59" s="55"/>
      <c r="B59" s="118" t="s">
        <v>514</v>
      </c>
      <c r="C59" s="181"/>
      <c r="D59" s="181"/>
      <c r="E59" s="181">
        <v>630</v>
      </c>
      <c r="F59" s="148">
        <v>0</v>
      </c>
      <c r="G59" s="183">
        <v>0</v>
      </c>
      <c r="H59" s="174">
        <f t="shared" si="0"/>
      </c>
      <c r="I59" s="184" t="e">
        <f>F59/F306</f>
        <v>#REF!</v>
      </c>
      <c r="K59" s="11"/>
      <c r="L59" s="11"/>
      <c r="M59" s="11"/>
      <c r="N59" s="11"/>
      <c r="O59" s="11"/>
      <c r="P59" s="11"/>
      <c r="Q59" s="9">
        <f t="shared" si="11"/>
        <v>0</v>
      </c>
    </row>
    <row r="60" spans="1:17" ht="18.75" customHeight="1">
      <c r="A60" s="23" t="s">
        <v>408</v>
      </c>
      <c r="B60" s="177" t="s">
        <v>515</v>
      </c>
      <c r="C60" s="22" t="s">
        <v>168</v>
      </c>
      <c r="D60" s="22"/>
      <c r="E60" s="22"/>
      <c r="F60" s="8" t="e">
        <f>F61+F73</f>
        <v>#REF!</v>
      </c>
      <c r="G60" s="175" t="e">
        <f>G61+G73+G66+G79</f>
        <v>#REF!</v>
      </c>
      <c r="H60" s="168" t="e">
        <f t="shared" si="0"/>
        <v>#REF!</v>
      </c>
      <c r="I60" s="13" t="e">
        <f>F60/F306</f>
        <v>#REF!</v>
      </c>
      <c r="J60" s="41"/>
      <c r="K60" s="10" t="e">
        <f>K61+K73+K66+K79</f>
        <v>#REF!</v>
      </c>
      <c r="L60" s="10" t="e">
        <f>L61+L73+L66+L79</f>
        <v>#REF!</v>
      </c>
      <c r="M60" s="10" t="e">
        <f>M61+M66+M73+M79</f>
        <v>#REF!</v>
      </c>
      <c r="N60" s="10" t="e">
        <f>N61+N66+N79</f>
        <v>#REF!</v>
      </c>
      <c r="O60" s="10" t="e">
        <f>O61+O66+O79</f>
        <v>#REF!</v>
      </c>
      <c r="P60" s="252">
        <f>P61+P66+P79</f>
        <v>181849</v>
      </c>
      <c r="Q60" s="9">
        <f t="shared" si="11"/>
        <v>0.00791982592227065</v>
      </c>
    </row>
    <row r="61" spans="1:17" ht="16.5" customHeight="1">
      <c r="A61" s="23" t="s">
        <v>478</v>
      </c>
      <c r="B61" s="10" t="s">
        <v>182</v>
      </c>
      <c r="C61" s="31"/>
      <c r="D61" s="31" t="s">
        <v>181</v>
      </c>
      <c r="E61" s="31"/>
      <c r="F61" s="12" t="e">
        <f>F62+F63+#REF!+F64</f>
        <v>#REF!</v>
      </c>
      <c r="G61" s="175" t="e">
        <f>G62+G63+#REF!+G64</f>
        <v>#REF!</v>
      </c>
      <c r="H61" s="168" t="e">
        <f t="shared" si="0"/>
        <v>#REF!</v>
      </c>
      <c r="I61" s="13" t="e">
        <f>F61/F306</f>
        <v>#REF!</v>
      </c>
      <c r="J61" s="41"/>
      <c r="K61" s="10" t="e">
        <f>K62+K63+#REF!+K64</f>
        <v>#REF!</v>
      </c>
      <c r="L61" s="10" t="e">
        <f>L62+L63+#REF!+L64</f>
        <v>#REF!</v>
      </c>
      <c r="M61" s="10" t="e">
        <f>M62+M63+#REF!+M64+M65</f>
        <v>#REF!</v>
      </c>
      <c r="N61" s="10" t="e">
        <f>N62+N63+#REF!+N64+N65</f>
        <v>#REF!</v>
      </c>
      <c r="O61" s="10" t="e">
        <f>O62+O63+#REF!+O64+O65</f>
        <v>#REF!</v>
      </c>
      <c r="P61" s="10">
        <f>P62+P63+P64+P65</f>
        <v>30000</v>
      </c>
      <c r="Q61" s="9">
        <f t="shared" si="11"/>
        <v>0.0013065498169806792</v>
      </c>
    </row>
    <row r="62" spans="1:17" ht="16.5" customHeight="1">
      <c r="A62" s="28"/>
      <c r="B62" s="11" t="s">
        <v>483</v>
      </c>
      <c r="C62" s="22"/>
      <c r="D62" s="22"/>
      <c r="E62" s="22" t="s">
        <v>484</v>
      </c>
      <c r="F62" s="8">
        <v>490</v>
      </c>
      <c r="G62" s="176">
        <v>500</v>
      </c>
      <c r="H62" s="174">
        <f t="shared" si="0"/>
        <v>102.04081632653062</v>
      </c>
      <c r="I62" s="9" t="e">
        <f>F62/F306</f>
        <v>#REF!</v>
      </c>
      <c r="K62" s="11">
        <v>0</v>
      </c>
      <c r="L62" s="11">
        <v>0</v>
      </c>
      <c r="M62" s="11">
        <v>450</v>
      </c>
      <c r="N62" s="11">
        <v>0</v>
      </c>
      <c r="O62" s="11">
        <v>0</v>
      </c>
      <c r="P62" s="11">
        <v>600</v>
      </c>
      <c r="Q62" s="9">
        <f t="shared" si="11"/>
        <v>2.6130996339613584E-05</v>
      </c>
    </row>
    <row r="63" spans="1:17" ht="51" customHeight="1">
      <c r="A63" s="28"/>
      <c r="B63" s="14" t="s">
        <v>516</v>
      </c>
      <c r="C63" s="22"/>
      <c r="D63" s="22"/>
      <c r="E63" s="22" t="s">
        <v>488</v>
      </c>
      <c r="F63" s="8">
        <v>41300</v>
      </c>
      <c r="G63" s="176">
        <v>53461</v>
      </c>
      <c r="H63" s="174">
        <f t="shared" si="0"/>
        <v>129.4455205811138</v>
      </c>
      <c r="I63" s="9" t="e">
        <f>F63/F306</f>
        <v>#REF!</v>
      </c>
      <c r="K63" s="11">
        <v>0</v>
      </c>
      <c r="L63" s="11">
        <v>0</v>
      </c>
      <c r="M63" s="11">
        <v>39124</v>
      </c>
      <c r="N63" s="11">
        <v>0</v>
      </c>
      <c r="O63" s="11">
        <v>0</v>
      </c>
      <c r="P63" s="11">
        <v>29000</v>
      </c>
      <c r="Q63" s="9">
        <f t="shared" si="11"/>
        <v>0.0012629981564146566</v>
      </c>
    </row>
    <row r="64" spans="1:17" ht="18.75" customHeight="1">
      <c r="A64" s="28"/>
      <c r="B64" s="14" t="s">
        <v>479</v>
      </c>
      <c r="C64" s="22"/>
      <c r="D64" s="22"/>
      <c r="E64" s="22" t="s">
        <v>480</v>
      </c>
      <c r="F64" s="8">
        <v>9420</v>
      </c>
      <c r="G64" s="176">
        <v>8420</v>
      </c>
      <c r="H64" s="174">
        <f t="shared" si="0"/>
        <v>89.38428874734608</v>
      </c>
      <c r="I64" s="9" t="e">
        <f>F64/F306</f>
        <v>#REF!</v>
      </c>
      <c r="K64" s="11">
        <v>0</v>
      </c>
      <c r="L64" s="11">
        <v>0</v>
      </c>
      <c r="M64" s="11">
        <v>220</v>
      </c>
      <c r="N64" s="11">
        <v>0</v>
      </c>
      <c r="O64" s="11">
        <v>0</v>
      </c>
      <c r="P64" s="11">
        <v>400</v>
      </c>
      <c r="Q64" s="9">
        <f t="shared" si="11"/>
        <v>1.7420664226409056E-05</v>
      </c>
    </row>
    <row r="65" spans="1:17" ht="18.75" customHeight="1" hidden="1">
      <c r="A65" s="28"/>
      <c r="B65" s="14" t="s">
        <v>502</v>
      </c>
      <c r="C65" s="22"/>
      <c r="D65" s="22"/>
      <c r="E65" s="22" t="s">
        <v>492</v>
      </c>
      <c r="F65" s="8"/>
      <c r="G65" s="176"/>
      <c r="H65" s="174"/>
      <c r="I65" s="9"/>
      <c r="K65" s="11"/>
      <c r="L65" s="11"/>
      <c r="M65" s="11">
        <v>1732</v>
      </c>
      <c r="N65" s="11">
        <v>0</v>
      </c>
      <c r="O65" s="11">
        <v>0</v>
      </c>
      <c r="P65" s="11">
        <v>0</v>
      </c>
      <c r="Q65" s="9">
        <f t="shared" si="11"/>
        <v>0</v>
      </c>
    </row>
    <row r="66" spans="1:17" ht="18.75" customHeight="1">
      <c r="A66" s="23" t="s">
        <v>481</v>
      </c>
      <c r="B66" s="7" t="s">
        <v>192</v>
      </c>
      <c r="C66" s="31"/>
      <c r="D66" s="31" t="s">
        <v>191</v>
      </c>
      <c r="E66" s="31"/>
      <c r="F66" s="12"/>
      <c r="G66" s="175">
        <f>G67+G68+G69+G70+G71+G72</f>
        <v>302185</v>
      </c>
      <c r="H66" s="168"/>
      <c r="I66" s="13"/>
      <c r="J66" s="41"/>
      <c r="K66" s="10">
        <f aca="true" t="shared" si="16" ref="K66:P66">K67+K68+K69+K70+K71+K72</f>
        <v>0</v>
      </c>
      <c r="L66" s="10">
        <f t="shared" si="16"/>
        <v>0</v>
      </c>
      <c r="M66" s="10">
        <f t="shared" si="16"/>
        <v>159655</v>
      </c>
      <c r="N66" s="10">
        <f t="shared" si="16"/>
        <v>0</v>
      </c>
      <c r="O66" s="10">
        <f t="shared" si="16"/>
        <v>0</v>
      </c>
      <c r="P66" s="252">
        <f t="shared" si="16"/>
        <v>151849</v>
      </c>
      <c r="Q66" s="9">
        <f t="shared" si="11"/>
        <v>0.006613276105289972</v>
      </c>
    </row>
    <row r="67" spans="1:17" ht="18.75" customHeight="1">
      <c r="A67" s="28"/>
      <c r="B67" s="11" t="s">
        <v>483</v>
      </c>
      <c r="C67" s="22"/>
      <c r="D67" s="22"/>
      <c r="E67" s="22" t="s">
        <v>484</v>
      </c>
      <c r="F67" s="8"/>
      <c r="G67" s="176">
        <v>330</v>
      </c>
      <c r="H67" s="174"/>
      <c r="I67" s="9"/>
      <c r="K67" s="11">
        <v>0</v>
      </c>
      <c r="L67" s="11"/>
      <c r="M67" s="11">
        <v>0</v>
      </c>
      <c r="N67" s="11">
        <v>0</v>
      </c>
      <c r="O67" s="11">
        <v>0</v>
      </c>
      <c r="P67" s="11">
        <v>300</v>
      </c>
      <c r="Q67" s="9">
        <f t="shared" si="11"/>
        <v>1.3065498169806792E-05</v>
      </c>
    </row>
    <row r="68" spans="1:17" ht="52.5" customHeight="1">
      <c r="A68" s="28"/>
      <c r="B68" s="14" t="s">
        <v>516</v>
      </c>
      <c r="C68" s="22"/>
      <c r="D68" s="22"/>
      <c r="E68" s="22" t="s">
        <v>488</v>
      </c>
      <c r="F68" s="8"/>
      <c r="G68" s="176">
        <v>195458</v>
      </c>
      <c r="H68" s="174"/>
      <c r="I68" s="9"/>
      <c r="K68" s="11">
        <v>0</v>
      </c>
      <c r="L68" s="11">
        <v>0</v>
      </c>
      <c r="M68" s="11">
        <v>84152</v>
      </c>
      <c r="N68" s="11">
        <v>0</v>
      </c>
      <c r="O68" s="11">
        <v>0</v>
      </c>
      <c r="P68" s="11">
        <v>80258</v>
      </c>
      <c r="Q68" s="9">
        <f t="shared" si="11"/>
        <v>0.003495369173707845</v>
      </c>
    </row>
    <row r="69" spans="1:17" ht="18.75" customHeight="1">
      <c r="A69" s="28"/>
      <c r="B69" s="14" t="s">
        <v>489</v>
      </c>
      <c r="C69" s="22"/>
      <c r="D69" s="22"/>
      <c r="E69" s="22" t="s">
        <v>490</v>
      </c>
      <c r="F69" s="8"/>
      <c r="G69" s="176">
        <v>92116</v>
      </c>
      <c r="H69" s="174"/>
      <c r="I69" s="9"/>
      <c r="K69" s="11">
        <v>0</v>
      </c>
      <c r="L69" s="11">
        <v>0</v>
      </c>
      <c r="M69" s="11">
        <v>69767</v>
      </c>
      <c r="N69" s="11">
        <v>0</v>
      </c>
      <c r="O69" s="11">
        <v>0</v>
      </c>
      <c r="P69" s="11">
        <v>68098</v>
      </c>
      <c r="Q69" s="9">
        <f t="shared" si="11"/>
        <v>0.00296578098122501</v>
      </c>
    </row>
    <row r="70" spans="1:17" ht="27" customHeight="1">
      <c r="A70" s="28"/>
      <c r="B70" s="14" t="s">
        <v>495</v>
      </c>
      <c r="C70" s="22"/>
      <c r="D70" s="22"/>
      <c r="E70" s="22" t="s">
        <v>496</v>
      </c>
      <c r="F70" s="8"/>
      <c r="G70" s="176">
        <v>200</v>
      </c>
      <c r="H70" s="174"/>
      <c r="I70" s="9"/>
      <c r="K70" s="11">
        <v>0</v>
      </c>
      <c r="L70" s="11">
        <v>0</v>
      </c>
      <c r="M70" s="11">
        <v>200</v>
      </c>
      <c r="N70" s="11">
        <v>0</v>
      </c>
      <c r="O70" s="11">
        <v>0</v>
      </c>
      <c r="P70" s="11">
        <v>100</v>
      </c>
      <c r="Q70" s="9">
        <f t="shared" si="11"/>
        <v>4.355166056602264E-06</v>
      </c>
    </row>
    <row r="71" spans="1:17" ht="18.75" customHeight="1">
      <c r="A71" s="28"/>
      <c r="B71" s="14" t="s">
        <v>479</v>
      </c>
      <c r="C71" s="22"/>
      <c r="D71" s="22"/>
      <c r="E71" s="22" t="s">
        <v>480</v>
      </c>
      <c r="F71" s="8"/>
      <c r="G71" s="176">
        <v>13881</v>
      </c>
      <c r="H71" s="174"/>
      <c r="I71" s="9"/>
      <c r="K71" s="11">
        <v>0</v>
      </c>
      <c r="L71" s="11">
        <v>0</v>
      </c>
      <c r="M71" s="11">
        <v>4650</v>
      </c>
      <c r="N71" s="11">
        <v>0</v>
      </c>
      <c r="O71" s="11">
        <v>0</v>
      </c>
      <c r="P71" s="11">
        <v>1400</v>
      </c>
      <c r="Q71" s="9">
        <f t="shared" si="11"/>
        <v>6.09723247924317E-05</v>
      </c>
    </row>
    <row r="72" spans="1:17" ht="18" customHeight="1">
      <c r="A72" s="28"/>
      <c r="B72" s="14" t="s">
        <v>517</v>
      </c>
      <c r="C72" s="22"/>
      <c r="D72" s="22"/>
      <c r="E72" s="22" t="s">
        <v>492</v>
      </c>
      <c r="F72" s="8"/>
      <c r="G72" s="176">
        <v>200</v>
      </c>
      <c r="H72" s="174"/>
      <c r="I72" s="9"/>
      <c r="K72" s="11">
        <v>0</v>
      </c>
      <c r="L72" s="11">
        <v>0</v>
      </c>
      <c r="M72" s="11">
        <v>886</v>
      </c>
      <c r="N72" s="11">
        <v>0</v>
      </c>
      <c r="O72" s="11">
        <v>0</v>
      </c>
      <c r="P72" s="11">
        <v>1693</v>
      </c>
      <c r="Q72" s="9">
        <f t="shared" si="11"/>
        <v>7.373296133827634E-05</v>
      </c>
    </row>
    <row r="73" spans="1:17" ht="18" customHeight="1" hidden="1">
      <c r="A73" s="23" t="s">
        <v>518</v>
      </c>
      <c r="B73" s="10" t="s">
        <v>197</v>
      </c>
      <c r="C73" s="31"/>
      <c r="D73" s="31" t="s">
        <v>196</v>
      </c>
      <c r="E73" s="31"/>
      <c r="F73" s="12">
        <f>F74+F75+F76+F77+F78</f>
        <v>456020</v>
      </c>
      <c r="G73" s="175">
        <f>G74+G75+G76+G77+G78</f>
        <v>206807</v>
      </c>
      <c r="H73" s="168">
        <f t="shared" si="0"/>
        <v>45.350423227051444</v>
      </c>
      <c r="I73" s="13" t="e">
        <f>F73/F306</f>
        <v>#REF!</v>
      </c>
      <c r="J73" s="41"/>
      <c r="K73" s="10">
        <f>K74+K75+K76+K77+K78</f>
        <v>0</v>
      </c>
      <c r="L73" s="10">
        <f>L74+L75+L76+L77+L78</f>
        <v>0</v>
      </c>
      <c r="M73" s="10">
        <f>M74+M75+M76+M77+M78</f>
        <v>0</v>
      </c>
      <c r="N73" s="10"/>
      <c r="O73" s="10"/>
      <c r="P73" s="11"/>
      <c r="Q73" s="9">
        <f t="shared" si="11"/>
        <v>0</v>
      </c>
    </row>
    <row r="74" spans="1:17" ht="15" customHeight="1" hidden="1">
      <c r="A74" s="28"/>
      <c r="B74" s="11" t="s">
        <v>483</v>
      </c>
      <c r="C74" s="22"/>
      <c r="D74" s="22"/>
      <c r="E74" s="22" t="s">
        <v>484</v>
      </c>
      <c r="F74" s="8">
        <v>0</v>
      </c>
      <c r="G74" s="176">
        <v>0</v>
      </c>
      <c r="H74" s="174">
        <f t="shared" si="0"/>
      </c>
      <c r="I74" s="9" t="e">
        <f>F74/F306</f>
        <v>#REF!</v>
      </c>
      <c r="K74" s="11">
        <v>0</v>
      </c>
      <c r="L74" s="11">
        <v>0</v>
      </c>
      <c r="M74" s="11">
        <v>0</v>
      </c>
      <c r="N74" s="11"/>
      <c r="O74" s="11"/>
      <c r="P74" s="11"/>
      <c r="Q74" s="9">
        <f t="shared" si="11"/>
        <v>0</v>
      </c>
    </row>
    <row r="75" spans="1:17" ht="54" customHeight="1" hidden="1">
      <c r="A75" s="28"/>
      <c r="B75" s="14" t="s">
        <v>516</v>
      </c>
      <c r="C75" s="22"/>
      <c r="D75" s="22"/>
      <c r="E75" s="22" t="s">
        <v>488</v>
      </c>
      <c r="F75" s="8">
        <v>310332</v>
      </c>
      <c r="G75" s="176">
        <v>110706</v>
      </c>
      <c r="H75" s="174">
        <f t="shared" si="0"/>
        <v>35.67340783419048</v>
      </c>
      <c r="I75" s="9" t="e">
        <f>F75/F306</f>
        <v>#REF!</v>
      </c>
      <c r="K75" s="11">
        <v>0</v>
      </c>
      <c r="L75" s="11">
        <v>0</v>
      </c>
      <c r="M75" s="11">
        <v>0</v>
      </c>
      <c r="N75" s="11"/>
      <c r="O75" s="11"/>
      <c r="P75" s="11"/>
      <c r="Q75" s="9">
        <f t="shared" si="11"/>
        <v>0</v>
      </c>
    </row>
    <row r="76" spans="1:17" ht="18" customHeight="1" hidden="1">
      <c r="A76" s="28"/>
      <c r="B76" s="14" t="s">
        <v>489</v>
      </c>
      <c r="C76" s="22"/>
      <c r="D76" s="22"/>
      <c r="E76" s="22" t="s">
        <v>490</v>
      </c>
      <c r="F76" s="8">
        <v>132288</v>
      </c>
      <c r="G76" s="176">
        <v>89905</v>
      </c>
      <c r="H76" s="174">
        <f t="shared" si="0"/>
        <v>67.96156869859699</v>
      </c>
      <c r="I76" s="9" t="e">
        <f>F76/F306</f>
        <v>#REF!</v>
      </c>
      <c r="K76" s="11">
        <v>0</v>
      </c>
      <c r="L76" s="11">
        <v>0</v>
      </c>
      <c r="M76" s="11">
        <v>0</v>
      </c>
      <c r="N76" s="11"/>
      <c r="O76" s="11"/>
      <c r="P76" s="11"/>
      <c r="Q76" s="9">
        <f t="shared" si="11"/>
        <v>0</v>
      </c>
    </row>
    <row r="77" spans="1:17" ht="30" customHeight="1" hidden="1">
      <c r="A77" s="28"/>
      <c r="B77" s="14" t="s">
        <v>495</v>
      </c>
      <c r="C77" s="22"/>
      <c r="D77" s="22"/>
      <c r="E77" s="22" t="s">
        <v>496</v>
      </c>
      <c r="F77" s="8">
        <v>400</v>
      </c>
      <c r="G77" s="176">
        <v>317</v>
      </c>
      <c r="H77" s="174">
        <f t="shared" si="0"/>
        <v>79.25</v>
      </c>
      <c r="I77" s="9" t="e">
        <f>F77/F306</f>
        <v>#REF!</v>
      </c>
      <c r="K77" s="11">
        <v>0</v>
      </c>
      <c r="L77" s="11">
        <v>0</v>
      </c>
      <c r="M77" s="11">
        <v>0</v>
      </c>
      <c r="N77" s="11"/>
      <c r="O77" s="11"/>
      <c r="P77" s="11"/>
      <c r="Q77" s="9">
        <f t="shared" si="11"/>
        <v>0</v>
      </c>
    </row>
    <row r="78" spans="1:17" ht="20.25" customHeight="1" hidden="1">
      <c r="A78" s="28"/>
      <c r="B78" s="14" t="s">
        <v>479</v>
      </c>
      <c r="C78" s="22"/>
      <c r="D78" s="22"/>
      <c r="E78" s="22" t="s">
        <v>480</v>
      </c>
      <c r="F78" s="8">
        <v>13000</v>
      </c>
      <c r="G78" s="176">
        <v>5879</v>
      </c>
      <c r="H78" s="174">
        <f t="shared" si="0"/>
        <v>45.223076923076924</v>
      </c>
      <c r="I78" s="9" t="e">
        <f>F78/F306</f>
        <v>#REF!</v>
      </c>
      <c r="K78" s="11">
        <v>0</v>
      </c>
      <c r="L78" s="11">
        <v>0</v>
      </c>
      <c r="M78" s="11">
        <v>0</v>
      </c>
      <c r="N78" s="11"/>
      <c r="O78" s="11"/>
      <c r="P78" s="11"/>
      <c r="Q78" s="9">
        <f t="shared" si="11"/>
        <v>0</v>
      </c>
    </row>
    <row r="79" spans="1:17" ht="20.25" customHeight="1" hidden="1">
      <c r="A79" s="23" t="s">
        <v>518</v>
      </c>
      <c r="B79" s="7" t="s">
        <v>124</v>
      </c>
      <c r="C79" s="31"/>
      <c r="D79" s="31" t="s">
        <v>220</v>
      </c>
      <c r="E79" s="31"/>
      <c r="F79" s="12"/>
      <c r="G79" s="175">
        <f>G80</f>
        <v>92</v>
      </c>
      <c r="H79" s="168"/>
      <c r="I79" s="13"/>
      <c r="J79" s="41"/>
      <c r="K79" s="10">
        <f aca="true" t="shared" si="17" ref="K79:P79">K80</f>
        <v>0</v>
      </c>
      <c r="L79" s="10">
        <f t="shared" si="17"/>
        <v>0</v>
      </c>
      <c r="M79" s="10">
        <f t="shared" si="17"/>
        <v>387</v>
      </c>
      <c r="N79" s="10">
        <f t="shared" si="17"/>
        <v>0</v>
      </c>
      <c r="O79" s="10">
        <f t="shared" si="17"/>
        <v>0</v>
      </c>
      <c r="P79" s="252">
        <f t="shared" si="17"/>
        <v>0</v>
      </c>
      <c r="Q79" s="9">
        <f t="shared" si="11"/>
        <v>0</v>
      </c>
    </row>
    <row r="80" spans="1:17" ht="24" customHeight="1" hidden="1">
      <c r="A80" s="28"/>
      <c r="B80" s="14" t="s">
        <v>502</v>
      </c>
      <c r="C80" s="22"/>
      <c r="D80" s="22"/>
      <c r="E80" s="22" t="s">
        <v>492</v>
      </c>
      <c r="F80" s="8"/>
      <c r="G80" s="176">
        <v>92</v>
      </c>
      <c r="H80" s="174"/>
      <c r="I80" s="9"/>
      <c r="K80" s="11">
        <v>0</v>
      </c>
      <c r="L80" s="11">
        <v>0</v>
      </c>
      <c r="M80" s="11">
        <v>387</v>
      </c>
      <c r="N80" s="11">
        <v>0</v>
      </c>
      <c r="O80" s="11">
        <v>0</v>
      </c>
      <c r="P80" s="11">
        <v>0</v>
      </c>
      <c r="Q80" s="9">
        <f t="shared" si="11"/>
        <v>0</v>
      </c>
    </row>
    <row r="81" spans="1:17" ht="19.5" customHeight="1" hidden="1">
      <c r="A81" s="23" t="s">
        <v>467</v>
      </c>
      <c r="B81" s="177" t="s">
        <v>519</v>
      </c>
      <c r="C81" s="22" t="s">
        <v>221</v>
      </c>
      <c r="D81" s="22"/>
      <c r="E81" s="22"/>
      <c r="F81" s="8" t="e">
        <f>F84</f>
        <v>#REF!</v>
      </c>
      <c r="G81" s="175" t="e">
        <f>G84+G82</f>
        <v>#REF!</v>
      </c>
      <c r="H81" s="168" t="e">
        <f t="shared" si="0"/>
        <v>#REF!</v>
      </c>
      <c r="I81" s="13" t="e">
        <f>F81/F306</f>
        <v>#REF!</v>
      </c>
      <c r="J81" s="41"/>
      <c r="K81" s="10" t="e">
        <f>K84+K82</f>
        <v>#REF!</v>
      </c>
      <c r="L81" s="10" t="e">
        <f>L84+L82</f>
        <v>#REF!</v>
      </c>
      <c r="M81" s="10">
        <f>M82+M84</f>
        <v>25587</v>
      </c>
      <c r="N81" s="10">
        <f>N82+N84</f>
        <v>0</v>
      </c>
      <c r="O81" s="10">
        <f>O82+O84</f>
        <v>0</v>
      </c>
      <c r="P81" s="252">
        <f>P82+P84</f>
        <v>0</v>
      </c>
      <c r="Q81" s="9">
        <f t="shared" si="11"/>
        <v>0</v>
      </c>
    </row>
    <row r="82" spans="1:17" ht="19.5" customHeight="1" hidden="1">
      <c r="A82" s="25" t="s">
        <v>478</v>
      </c>
      <c r="B82" s="24" t="s">
        <v>224</v>
      </c>
      <c r="C82" s="22"/>
      <c r="D82" s="31" t="s">
        <v>223</v>
      </c>
      <c r="E82" s="31"/>
      <c r="F82" s="12"/>
      <c r="G82" s="175">
        <f>G83</f>
        <v>239</v>
      </c>
      <c r="H82" s="168"/>
      <c r="I82" s="13"/>
      <c r="J82" s="41"/>
      <c r="K82" s="10">
        <f aca="true" t="shared" si="18" ref="K82:P82">K83</f>
        <v>0</v>
      </c>
      <c r="L82" s="10">
        <f t="shared" si="18"/>
        <v>0</v>
      </c>
      <c r="M82" s="10">
        <f t="shared" si="18"/>
        <v>25283</v>
      </c>
      <c r="N82" s="10">
        <f t="shared" si="18"/>
        <v>0</v>
      </c>
      <c r="O82" s="10">
        <f t="shared" si="18"/>
        <v>0</v>
      </c>
      <c r="P82" s="252">
        <f t="shared" si="18"/>
        <v>0</v>
      </c>
      <c r="Q82" s="9">
        <f t="shared" si="11"/>
        <v>0</v>
      </c>
    </row>
    <row r="83" spans="1:17" ht="27.75" customHeight="1" hidden="1">
      <c r="A83" s="23"/>
      <c r="B83" s="24" t="s">
        <v>502</v>
      </c>
      <c r="C83" s="22"/>
      <c r="D83" s="22"/>
      <c r="E83" s="22" t="s">
        <v>492</v>
      </c>
      <c r="F83" s="8"/>
      <c r="G83" s="185">
        <v>239</v>
      </c>
      <c r="H83" s="186"/>
      <c r="I83" s="187"/>
      <c r="J83" s="163"/>
      <c r="K83" s="24">
        <v>0</v>
      </c>
      <c r="L83" s="24">
        <v>0</v>
      </c>
      <c r="M83" s="11">
        <v>25283</v>
      </c>
      <c r="N83" s="11">
        <v>0</v>
      </c>
      <c r="O83" s="11">
        <v>0</v>
      </c>
      <c r="P83" s="11">
        <v>0</v>
      </c>
      <c r="Q83" s="9">
        <f t="shared" si="11"/>
        <v>0</v>
      </c>
    </row>
    <row r="84" spans="1:17" ht="21" customHeight="1" hidden="1">
      <c r="A84" s="28" t="s">
        <v>481</v>
      </c>
      <c r="B84" s="7" t="s">
        <v>591</v>
      </c>
      <c r="C84" s="31"/>
      <c r="D84" s="31" t="s">
        <v>230</v>
      </c>
      <c r="E84" s="31"/>
      <c r="F84" s="12" t="e">
        <f>#REF!+F85</f>
        <v>#REF!</v>
      </c>
      <c r="G84" s="175" t="e">
        <f>#REF!+G85</f>
        <v>#REF!</v>
      </c>
      <c r="H84" s="168" t="e">
        <f t="shared" si="0"/>
        <v>#REF!</v>
      </c>
      <c r="I84" s="13" t="e">
        <f>F84/F306</f>
        <v>#REF!</v>
      </c>
      <c r="J84" s="41"/>
      <c r="K84" s="10" t="e">
        <f>#REF!+K85</f>
        <v>#REF!</v>
      </c>
      <c r="L84" s="10" t="e">
        <f>#REF!+L85</f>
        <v>#REF!</v>
      </c>
      <c r="M84" s="10">
        <f>M85</f>
        <v>304</v>
      </c>
      <c r="N84" s="10">
        <f>N85</f>
        <v>0</v>
      </c>
      <c r="O84" s="10">
        <f>O85</f>
        <v>0</v>
      </c>
      <c r="P84" s="252">
        <f>P85</f>
        <v>0</v>
      </c>
      <c r="Q84" s="9">
        <f t="shared" si="11"/>
        <v>0</v>
      </c>
    </row>
    <row r="85" spans="1:17" ht="20.25" customHeight="1" hidden="1">
      <c r="A85" s="28"/>
      <c r="B85" s="14" t="s">
        <v>479</v>
      </c>
      <c r="C85" s="22"/>
      <c r="D85" s="22"/>
      <c r="E85" s="22" t="s">
        <v>480</v>
      </c>
      <c r="F85" s="8">
        <v>700</v>
      </c>
      <c r="G85" s="176">
        <v>700</v>
      </c>
      <c r="H85" s="174">
        <f t="shared" si="0"/>
        <v>100</v>
      </c>
      <c r="I85" s="9" t="e">
        <f>F85/F306</f>
        <v>#REF!</v>
      </c>
      <c r="K85" s="11"/>
      <c r="L85" s="11"/>
      <c r="M85" s="11">
        <v>304</v>
      </c>
      <c r="N85" s="11">
        <v>0</v>
      </c>
      <c r="O85" s="11">
        <v>0</v>
      </c>
      <c r="P85" s="11">
        <v>0</v>
      </c>
      <c r="Q85" s="9">
        <f t="shared" si="11"/>
        <v>0</v>
      </c>
    </row>
    <row r="86" spans="1:17" ht="20.25" customHeight="1">
      <c r="A86" s="23" t="s">
        <v>467</v>
      </c>
      <c r="B86" s="7" t="s">
        <v>519</v>
      </c>
      <c r="C86" s="35" t="s">
        <v>221</v>
      </c>
      <c r="D86" s="31"/>
      <c r="E86" s="31"/>
      <c r="F86" s="12"/>
      <c r="G86" s="175"/>
      <c r="H86" s="168"/>
      <c r="I86" s="13"/>
      <c r="J86" s="41"/>
      <c r="K86" s="10"/>
      <c r="L86" s="10"/>
      <c r="M86" s="10"/>
      <c r="N86" s="10"/>
      <c r="O86" s="10"/>
      <c r="P86" s="10">
        <f>P87</f>
        <v>8070</v>
      </c>
      <c r="Q86" s="13">
        <f t="shared" si="11"/>
        <v>0.0003514619007678027</v>
      </c>
    </row>
    <row r="87" spans="1:17" ht="20.25" customHeight="1">
      <c r="A87" s="28" t="s">
        <v>478</v>
      </c>
      <c r="B87" s="14" t="s">
        <v>224</v>
      </c>
      <c r="C87" s="22"/>
      <c r="D87" s="31" t="s">
        <v>223</v>
      </c>
      <c r="E87" s="31"/>
      <c r="F87" s="12"/>
      <c r="G87" s="175"/>
      <c r="H87" s="168"/>
      <c r="I87" s="13"/>
      <c r="J87" s="41"/>
      <c r="K87" s="10"/>
      <c r="L87" s="10"/>
      <c r="M87" s="10"/>
      <c r="N87" s="10"/>
      <c r="O87" s="10"/>
      <c r="P87" s="10">
        <f>P88</f>
        <v>8070</v>
      </c>
      <c r="Q87" s="13">
        <f t="shared" si="11"/>
        <v>0.0003514619007678027</v>
      </c>
    </row>
    <row r="88" spans="1:17" ht="20.25" customHeight="1">
      <c r="A88" s="28"/>
      <c r="B88" s="14" t="s">
        <v>517</v>
      </c>
      <c r="C88" s="22"/>
      <c r="D88" s="22"/>
      <c r="E88" s="22" t="s">
        <v>492</v>
      </c>
      <c r="F88" s="8"/>
      <c r="G88" s="176"/>
      <c r="H88" s="174"/>
      <c r="I88" s="9"/>
      <c r="K88" s="11"/>
      <c r="L88" s="11"/>
      <c r="M88" s="11"/>
      <c r="N88" s="11"/>
      <c r="O88" s="11"/>
      <c r="P88" s="11">
        <v>8070</v>
      </c>
      <c r="Q88" s="9">
        <f t="shared" si="11"/>
        <v>0.0003514619007678027</v>
      </c>
    </row>
    <row r="89" spans="1:17" ht="19.5" customHeight="1">
      <c r="A89" s="23" t="s">
        <v>444</v>
      </c>
      <c r="B89" s="177" t="s">
        <v>520</v>
      </c>
      <c r="C89" s="22" t="s">
        <v>246</v>
      </c>
      <c r="D89" s="22"/>
      <c r="E89" s="22"/>
      <c r="F89" s="8" t="e">
        <f>F90+F93+F96+F98+F100</f>
        <v>#REF!</v>
      </c>
      <c r="G89" s="175" t="e">
        <f>G90+G93+#REF!+G96+G98+G100</f>
        <v>#REF!</v>
      </c>
      <c r="H89" s="168" t="e">
        <f t="shared" si="0"/>
        <v>#REF!</v>
      </c>
      <c r="I89" s="13" t="e">
        <f>F89/F306</f>
        <v>#REF!</v>
      </c>
      <c r="J89" s="41"/>
      <c r="K89" s="10" t="e">
        <f>K90+K93+#REF!+K96+K98+K100</f>
        <v>#REF!</v>
      </c>
      <c r="L89" s="10" t="e">
        <f>L90+L93+#REF!+L96+L98+L100</f>
        <v>#REF!</v>
      </c>
      <c r="M89" s="10" t="e">
        <f>M90+M93+#REF!+M96+M98+M100</f>
        <v>#REF!</v>
      </c>
      <c r="N89" s="10" t="e">
        <f>N90+N93+#REF!+N96+N98+N100</f>
        <v>#REF!</v>
      </c>
      <c r="O89" s="10" t="e">
        <f>O90+O93+#REF!+O96+O98+O100</f>
        <v>#REF!</v>
      </c>
      <c r="P89" s="252">
        <f>P90+P93+P96+P98+P100</f>
        <v>202892</v>
      </c>
      <c r="Q89" s="9">
        <f t="shared" si="11"/>
        <v>0.008836283515561465</v>
      </c>
    </row>
    <row r="90" spans="1:17" ht="28.5" customHeight="1">
      <c r="A90" s="23" t="s">
        <v>478</v>
      </c>
      <c r="B90" s="7" t="s">
        <v>365</v>
      </c>
      <c r="C90" s="31"/>
      <c r="D90" s="31" t="s">
        <v>248</v>
      </c>
      <c r="E90" s="31"/>
      <c r="F90" s="12" t="e">
        <f>#REF!+F91+#REF!+#REF!+F92</f>
        <v>#REF!</v>
      </c>
      <c r="G90" s="175" t="e">
        <f>#REF!+G91+#REF!+#REF!+G92+#REF!</f>
        <v>#REF!</v>
      </c>
      <c r="H90" s="168" t="e">
        <f t="shared" si="0"/>
        <v>#REF!</v>
      </c>
      <c r="I90" s="13" t="e">
        <f>F90/F306</f>
        <v>#REF!</v>
      </c>
      <c r="J90" s="41"/>
      <c r="K90" s="10" t="e">
        <f>#REF!+K91+#REF!+#REF!+K92+#REF!</f>
        <v>#REF!</v>
      </c>
      <c r="L90" s="10" t="e">
        <f>#REF!+L91+#REF!+#REF!+L92++#REF!</f>
        <v>#REF!</v>
      </c>
      <c r="M90" s="10" t="e">
        <f>#REF!+M91+#REF!+#REF!+M92+#REF!</f>
        <v>#REF!</v>
      </c>
      <c r="N90" s="10" t="e">
        <f>#REF!+N91+#REF!+#REF!+N92+#REF!</f>
        <v>#REF!</v>
      </c>
      <c r="O90" s="10" t="e">
        <f>#REF!+O91+#REF!+#REF!+O92+#REF!</f>
        <v>#REF!</v>
      </c>
      <c r="P90" s="252">
        <f>P91+P92</f>
        <v>6850</v>
      </c>
      <c r="Q90" s="9">
        <f t="shared" si="11"/>
        <v>0.0002983288748772551</v>
      </c>
    </row>
    <row r="91" spans="1:17" ht="51.75" customHeight="1">
      <c r="A91" s="23"/>
      <c r="B91" s="14" t="s">
        <v>516</v>
      </c>
      <c r="C91" s="22"/>
      <c r="D91" s="22"/>
      <c r="E91" s="22" t="s">
        <v>488</v>
      </c>
      <c r="F91" s="8">
        <v>2740</v>
      </c>
      <c r="G91" s="185">
        <v>4713</v>
      </c>
      <c r="H91" s="174">
        <f t="shared" si="0"/>
        <v>172.007299270073</v>
      </c>
      <c r="I91" s="9" t="e">
        <f>F91/F306</f>
        <v>#REF!</v>
      </c>
      <c r="K91" s="11">
        <v>0</v>
      </c>
      <c r="L91" s="11">
        <v>0</v>
      </c>
      <c r="M91" s="11">
        <v>6500</v>
      </c>
      <c r="N91" s="11">
        <v>0</v>
      </c>
      <c r="O91" s="11">
        <v>0</v>
      </c>
      <c r="P91" s="11">
        <v>6500</v>
      </c>
      <c r="Q91" s="9">
        <f t="shared" si="11"/>
        <v>0.0002830857936791472</v>
      </c>
    </row>
    <row r="92" spans="1:17" ht="17.25" customHeight="1">
      <c r="A92" s="23"/>
      <c r="B92" s="24" t="s">
        <v>479</v>
      </c>
      <c r="C92" s="22"/>
      <c r="D92" s="22"/>
      <c r="E92" s="22" t="s">
        <v>480</v>
      </c>
      <c r="F92" s="8">
        <v>4000</v>
      </c>
      <c r="G92" s="185">
        <v>6000</v>
      </c>
      <c r="H92" s="174">
        <f t="shared" si="0"/>
        <v>150</v>
      </c>
      <c r="I92" s="9" t="e">
        <f>F92/F306</f>
        <v>#REF!</v>
      </c>
      <c r="K92" s="11">
        <v>0</v>
      </c>
      <c r="L92" s="11">
        <v>0</v>
      </c>
      <c r="M92" s="11">
        <v>2500</v>
      </c>
      <c r="N92" s="11">
        <v>0</v>
      </c>
      <c r="O92" s="11">
        <v>0</v>
      </c>
      <c r="P92" s="11">
        <v>350</v>
      </c>
      <c r="Q92" s="9">
        <f t="shared" si="11"/>
        <v>1.5243081198107924E-05</v>
      </c>
    </row>
    <row r="93" spans="1:17" ht="15.75" customHeight="1">
      <c r="A93" s="23" t="s">
        <v>481</v>
      </c>
      <c r="B93" s="10" t="s">
        <v>257</v>
      </c>
      <c r="C93" s="31"/>
      <c r="D93" s="31" t="s">
        <v>256</v>
      </c>
      <c r="E93" s="31"/>
      <c r="F93" s="12">
        <f>F94+F95</f>
        <v>159900</v>
      </c>
      <c r="G93" s="175">
        <f>G94+G95</f>
        <v>170000</v>
      </c>
      <c r="H93" s="168">
        <f t="shared" si="0"/>
        <v>106.31644777986241</v>
      </c>
      <c r="I93" s="13" t="e">
        <f>F93/F306</f>
        <v>#REF!</v>
      </c>
      <c r="J93" s="41"/>
      <c r="K93" s="10">
        <f aca="true" t="shared" si="19" ref="K93:P93">K94+K95</f>
        <v>6500</v>
      </c>
      <c r="L93" s="10">
        <f t="shared" si="19"/>
        <v>500</v>
      </c>
      <c r="M93" s="10">
        <f t="shared" si="19"/>
        <v>180500</v>
      </c>
      <c r="N93" s="10">
        <f t="shared" si="19"/>
        <v>0</v>
      </c>
      <c r="O93" s="10">
        <f t="shared" si="19"/>
        <v>0</v>
      </c>
      <c r="P93" s="252">
        <f t="shared" si="19"/>
        <v>182200</v>
      </c>
      <c r="Q93" s="9">
        <f t="shared" si="11"/>
        <v>0.007935112555129326</v>
      </c>
    </row>
    <row r="94" spans="1:17" ht="18.75" customHeight="1">
      <c r="A94" s="28"/>
      <c r="B94" s="11" t="s">
        <v>489</v>
      </c>
      <c r="C94" s="22"/>
      <c r="D94" s="22"/>
      <c r="E94" s="22" t="s">
        <v>490</v>
      </c>
      <c r="F94" s="8">
        <v>159000</v>
      </c>
      <c r="G94" s="176">
        <v>169000</v>
      </c>
      <c r="H94" s="174">
        <f t="shared" si="0"/>
        <v>106.28930817610063</v>
      </c>
      <c r="I94" s="9" t="e">
        <f>F94/F306</f>
        <v>#REF!</v>
      </c>
      <c r="K94" s="11">
        <v>6500</v>
      </c>
      <c r="L94" s="11">
        <v>0</v>
      </c>
      <c r="M94" s="11">
        <v>180000</v>
      </c>
      <c r="N94" s="11">
        <v>0</v>
      </c>
      <c r="O94" s="11">
        <v>0</v>
      </c>
      <c r="P94" s="11">
        <v>182000</v>
      </c>
      <c r="Q94" s="9">
        <f t="shared" si="11"/>
        <v>0.00792640222301612</v>
      </c>
    </row>
    <row r="95" spans="1:17" ht="18" customHeight="1">
      <c r="A95" s="28"/>
      <c r="B95" s="14" t="s">
        <v>479</v>
      </c>
      <c r="C95" s="22"/>
      <c r="D95" s="22"/>
      <c r="E95" s="22" t="s">
        <v>480</v>
      </c>
      <c r="F95" s="8">
        <v>900</v>
      </c>
      <c r="G95" s="176">
        <v>1000</v>
      </c>
      <c r="H95" s="174">
        <f t="shared" si="0"/>
        <v>111.11111111111111</v>
      </c>
      <c r="I95" s="174" t="e">
        <f>F95/F306</f>
        <v>#REF!</v>
      </c>
      <c r="K95" s="11">
        <v>0</v>
      </c>
      <c r="L95" s="11">
        <v>500</v>
      </c>
      <c r="M95" s="11">
        <v>500</v>
      </c>
      <c r="N95" s="11">
        <v>0</v>
      </c>
      <c r="O95" s="11">
        <v>0</v>
      </c>
      <c r="P95" s="11">
        <v>200</v>
      </c>
      <c r="Q95" s="9">
        <f t="shared" si="11"/>
        <v>8.710332113204528E-06</v>
      </c>
    </row>
    <row r="96" spans="1:17" ht="27" customHeight="1">
      <c r="A96" s="10" t="s">
        <v>518</v>
      </c>
      <c r="B96" s="96" t="s">
        <v>522</v>
      </c>
      <c r="C96" s="31"/>
      <c r="D96" s="31">
        <v>85318</v>
      </c>
      <c r="E96" s="31"/>
      <c r="F96" s="10" t="e">
        <f>#REF!+F97+#REF!</f>
        <v>#REF!</v>
      </c>
      <c r="G96" s="10" t="e">
        <f>#REF!+G97+#REF!</f>
        <v>#REF!</v>
      </c>
      <c r="H96" s="168" t="e">
        <f t="shared" si="0"/>
        <v>#REF!</v>
      </c>
      <c r="I96" s="168" t="e">
        <f>F96/F306</f>
        <v>#REF!</v>
      </c>
      <c r="J96" s="41"/>
      <c r="K96" s="10" t="e">
        <f>#REF!+K97+#REF!</f>
        <v>#REF!</v>
      </c>
      <c r="L96" s="10" t="e">
        <f>#REF!+L97+#REF!</f>
        <v>#REF!</v>
      </c>
      <c r="M96" s="10" t="e">
        <f>#REF!+M97+#REF!</f>
        <v>#REF!</v>
      </c>
      <c r="N96" s="10" t="e">
        <f>#REF!+N97+#REF!</f>
        <v>#REF!</v>
      </c>
      <c r="O96" s="10" t="e">
        <f>#REF!+O97+#REF!</f>
        <v>#REF!</v>
      </c>
      <c r="P96" s="252">
        <f>P97</f>
        <v>500</v>
      </c>
      <c r="Q96" s="9">
        <f t="shared" si="11"/>
        <v>2.177583028301132E-05</v>
      </c>
    </row>
    <row r="97" spans="1:17" ht="18.75" customHeight="1">
      <c r="A97" s="11"/>
      <c r="B97" s="32" t="s">
        <v>479</v>
      </c>
      <c r="C97" s="22"/>
      <c r="D97" s="22"/>
      <c r="E97" s="22" t="s">
        <v>480</v>
      </c>
      <c r="F97" s="11">
        <v>6500</v>
      </c>
      <c r="G97" s="11">
        <v>4200</v>
      </c>
      <c r="H97" s="174">
        <f>IF(F97&gt;0,G97/F97*100,"")</f>
        <v>64.61538461538461</v>
      </c>
      <c r="I97" s="174" t="e">
        <f>F97/F306</f>
        <v>#REF!</v>
      </c>
      <c r="K97" s="11">
        <v>0</v>
      </c>
      <c r="L97" s="11">
        <v>0</v>
      </c>
      <c r="M97" s="11">
        <v>650</v>
      </c>
      <c r="N97" s="11">
        <v>0</v>
      </c>
      <c r="O97" s="11">
        <v>0</v>
      </c>
      <c r="P97" s="11">
        <v>500</v>
      </c>
      <c r="Q97" s="9">
        <f t="shared" si="11"/>
        <v>2.177583028301132E-05</v>
      </c>
    </row>
    <row r="98" spans="1:17" ht="16.5" customHeight="1">
      <c r="A98" s="10" t="s">
        <v>521</v>
      </c>
      <c r="B98" s="7" t="s">
        <v>524</v>
      </c>
      <c r="C98" s="31"/>
      <c r="D98" s="31" t="s">
        <v>271</v>
      </c>
      <c r="E98" s="31"/>
      <c r="F98" s="10">
        <f>F99</f>
        <v>19873</v>
      </c>
      <c r="G98" s="10">
        <f>G99</f>
        <v>20000</v>
      </c>
      <c r="H98" s="168">
        <f>G98/F98*100</f>
        <v>100.63905801841695</v>
      </c>
      <c r="I98" s="168" t="e">
        <f>F98/F306</f>
        <v>#REF!</v>
      </c>
      <c r="J98" s="41"/>
      <c r="K98" s="10">
        <f aca="true" t="shared" si="20" ref="K98:P98">K99</f>
        <v>0</v>
      </c>
      <c r="L98" s="10">
        <f t="shared" si="20"/>
        <v>0</v>
      </c>
      <c r="M98" s="10">
        <f t="shared" si="20"/>
        <v>12412</v>
      </c>
      <c r="N98" s="10">
        <f t="shared" si="20"/>
        <v>0</v>
      </c>
      <c r="O98" s="10">
        <f t="shared" si="20"/>
        <v>0</v>
      </c>
      <c r="P98" s="252">
        <f t="shared" si="20"/>
        <v>12412</v>
      </c>
      <c r="Q98" s="9">
        <f t="shared" si="11"/>
        <v>0.000540563210945473</v>
      </c>
    </row>
    <row r="99" spans="1:17" ht="16.5" customHeight="1">
      <c r="A99" s="11"/>
      <c r="B99" s="14" t="s">
        <v>502</v>
      </c>
      <c r="C99" s="22"/>
      <c r="D99" s="22"/>
      <c r="E99" s="22" t="s">
        <v>492</v>
      </c>
      <c r="F99" s="11">
        <v>19873</v>
      </c>
      <c r="G99" s="11">
        <v>20000</v>
      </c>
      <c r="H99" s="174">
        <f>G99/F99*100</f>
        <v>100.63905801841695</v>
      </c>
      <c r="I99" s="174" t="e">
        <f>F99/F306</f>
        <v>#REF!</v>
      </c>
      <c r="K99" s="11">
        <v>0</v>
      </c>
      <c r="L99" s="11">
        <v>0</v>
      </c>
      <c r="M99" s="11">
        <v>12412</v>
      </c>
      <c r="N99" s="11">
        <v>0</v>
      </c>
      <c r="O99" s="11">
        <v>0</v>
      </c>
      <c r="P99" s="11">
        <v>12412</v>
      </c>
      <c r="Q99" s="9">
        <f t="shared" si="11"/>
        <v>0.000540563210945473</v>
      </c>
    </row>
    <row r="100" spans="1:17" ht="18" customHeight="1">
      <c r="A100" s="10" t="s">
        <v>523</v>
      </c>
      <c r="B100" s="21" t="s">
        <v>278</v>
      </c>
      <c r="C100" s="31"/>
      <c r="D100" s="31" t="s">
        <v>277</v>
      </c>
      <c r="E100" s="31"/>
      <c r="F100" s="10">
        <f>F101</f>
        <v>2000</v>
      </c>
      <c r="G100" s="10">
        <f>G101</f>
        <v>2000</v>
      </c>
      <c r="H100" s="168">
        <f>IF(F100&gt;0,G100/F100*100,"")</f>
        <v>100</v>
      </c>
      <c r="I100" s="168" t="e">
        <f>F100/F306</f>
        <v>#REF!</v>
      </c>
      <c r="J100" s="41"/>
      <c r="K100" s="10">
        <f>K101</f>
        <v>0</v>
      </c>
      <c r="L100" s="10">
        <f>L101</f>
        <v>0</v>
      </c>
      <c r="M100" s="10">
        <f>M101+M102</f>
        <v>830</v>
      </c>
      <c r="N100" s="10">
        <f>N101+N102</f>
        <v>0</v>
      </c>
      <c r="O100" s="10">
        <f>O101+O102</f>
        <v>0</v>
      </c>
      <c r="P100" s="252">
        <f>P101+P102</f>
        <v>930</v>
      </c>
      <c r="Q100" s="9">
        <f t="shared" si="11"/>
        <v>4.050304432640106E-05</v>
      </c>
    </row>
    <row r="101" spans="1:17" ht="16.5" customHeight="1">
      <c r="A101" s="11"/>
      <c r="B101" s="14" t="s">
        <v>479</v>
      </c>
      <c r="C101" s="22"/>
      <c r="D101" s="22"/>
      <c r="E101" s="22" t="s">
        <v>480</v>
      </c>
      <c r="F101" s="11">
        <v>2000</v>
      </c>
      <c r="G101" s="11">
        <v>2000</v>
      </c>
      <c r="H101" s="174">
        <f>IF(F101&gt;0,G101/F101*100,"")</f>
        <v>100</v>
      </c>
      <c r="I101" s="174" t="e">
        <f>F101/F306</f>
        <v>#REF!</v>
      </c>
      <c r="K101" s="11">
        <v>0</v>
      </c>
      <c r="L101" s="11">
        <v>0</v>
      </c>
      <c r="M101" s="11">
        <v>800</v>
      </c>
      <c r="N101" s="11">
        <v>0</v>
      </c>
      <c r="O101" s="11">
        <v>0</v>
      </c>
      <c r="P101" s="11">
        <v>900</v>
      </c>
      <c r="Q101" s="9">
        <f t="shared" si="11"/>
        <v>3.919649450942037E-05</v>
      </c>
    </row>
    <row r="102" spans="1:17" ht="16.5" customHeight="1">
      <c r="A102" s="11"/>
      <c r="B102" s="14" t="s">
        <v>502</v>
      </c>
      <c r="C102" s="22"/>
      <c r="D102" s="22"/>
      <c r="E102" s="22" t="s">
        <v>492</v>
      </c>
      <c r="F102" s="11"/>
      <c r="G102" s="11"/>
      <c r="H102" s="174"/>
      <c r="I102" s="174"/>
      <c r="K102" s="11"/>
      <c r="L102" s="11"/>
      <c r="M102" s="11">
        <v>30</v>
      </c>
      <c r="N102" s="11">
        <v>0</v>
      </c>
      <c r="O102" s="11">
        <v>0</v>
      </c>
      <c r="P102" s="11">
        <v>30</v>
      </c>
      <c r="Q102" s="9">
        <f t="shared" si="11"/>
        <v>1.3065498169806793E-06</v>
      </c>
    </row>
    <row r="103" spans="1:17" ht="30" customHeight="1">
      <c r="A103" s="10" t="s">
        <v>806</v>
      </c>
      <c r="B103" s="178" t="s">
        <v>526</v>
      </c>
      <c r="C103" s="35" t="s">
        <v>281</v>
      </c>
      <c r="D103" s="22"/>
      <c r="E103" s="22"/>
      <c r="F103" s="11" t="e">
        <f>F104+F109+F113</f>
        <v>#REF!</v>
      </c>
      <c r="G103" s="10" t="e">
        <f>G104+G109+G113</f>
        <v>#REF!</v>
      </c>
      <c r="H103" s="168" t="e">
        <f>IF(F103&gt;0,G103/F103*100,"")</f>
        <v>#REF!</v>
      </c>
      <c r="I103" s="168" t="e">
        <f>F103/F306</f>
        <v>#REF!</v>
      </c>
      <c r="J103" s="41"/>
      <c r="K103" s="10" t="e">
        <f aca="true" t="shared" si="21" ref="K103:P103">K104+K109+K113</f>
        <v>#REF!</v>
      </c>
      <c r="L103" s="10" t="e">
        <f t="shared" si="21"/>
        <v>#REF!</v>
      </c>
      <c r="M103" s="10" t="e">
        <f t="shared" si="21"/>
        <v>#REF!</v>
      </c>
      <c r="N103" s="10" t="e">
        <f t="shared" si="21"/>
        <v>#REF!</v>
      </c>
      <c r="O103" s="10" t="e">
        <f t="shared" si="21"/>
        <v>#REF!</v>
      </c>
      <c r="P103" s="252">
        <f t="shared" si="21"/>
        <v>434163</v>
      </c>
      <c r="Q103" s="9">
        <f t="shared" si="11"/>
        <v>0.01890851960632609</v>
      </c>
    </row>
    <row r="104" spans="1:17" ht="26.25" customHeight="1">
      <c r="A104" s="10" t="s">
        <v>478</v>
      </c>
      <c r="B104" s="7" t="s">
        <v>284</v>
      </c>
      <c r="C104" s="31"/>
      <c r="D104" s="31" t="s">
        <v>283</v>
      </c>
      <c r="E104" s="31"/>
      <c r="F104" s="10">
        <f>F105+F106+F107</f>
        <v>84355</v>
      </c>
      <c r="G104" s="10" t="e">
        <f>G105+G106+G107+#REF!</f>
        <v>#REF!</v>
      </c>
      <c r="H104" s="168" t="e">
        <f>IF(F104&gt;0,G104/F104*100,"")</f>
        <v>#REF!</v>
      </c>
      <c r="I104" s="168" t="e">
        <f>F104/F306</f>
        <v>#REF!</v>
      </c>
      <c r="J104" s="41"/>
      <c r="K104" s="10" t="e">
        <f>K105+K106+K107+#REF!</f>
        <v>#REF!</v>
      </c>
      <c r="L104" s="10" t="e">
        <f>L105+L106+L107+#REF!</f>
        <v>#REF!</v>
      </c>
      <c r="M104" s="10" t="e">
        <f>#REF!+M105+M106+M107+#REF!+M108</f>
        <v>#REF!</v>
      </c>
      <c r="N104" s="10" t="e">
        <f>#REF!+N105+N106+#REF!+N107+N108</f>
        <v>#REF!</v>
      </c>
      <c r="O104" s="10" t="e">
        <f>#REF!+O105+O106+#REF!+O107+O108</f>
        <v>#REF!</v>
      </c>
      <c r="P104" s="252">
        <f>P105+P106+P107+P108</f>
        <v>67100</v>
      </c>
      <c r="Q104" s="9">
        <f t="shared" si="11"/>
        <v>0.002922316423980119</v>
      </c>
    </row>
    <row r="105" spans="1:17" ht="54" customHeight="1">
      <c r="A105" s="11"/>
      <c r="B105" s="14" t="s">
        <v>516</v>
      </c>
      <c r="C105" s="22"/>
      <c r="D105" s="22"/>
      <c r="E105" s="22" t="s">
        <v>488</v>
      </c>
      <c r="F105" s="11">
        <v>8195</v>
      </c>
      <c r="G105" s="11">
        <v>33775</v>
      </c>
      <c r="H105" s="174">
        <f>IF(F105&gt;0,G105/F105*100,"")</f>
        <v>412.1415497254423</v>
      </c>
      <c r="I105" s="174" t="e">
        <f>F105/F306</f>
        <v>#REF!</v>
      </c>
      <c r="K105" s="11">
        <v>0</v>
      </c>
      <c r="L105" s="11">
        <v>0</v>
      </c>
      <c r="M105" s="11">
        <v>20900</v>
      </c>
      <c r="N105" s="11">
        <v>0</v>
      </c>
      <c r="O105" s="11">
        <v>0</v>
      </c>
      <c r="P105" s="11">
        <v>18000</v>
      </c>
      <c r="Q105" s="9">
        <f t="shared" si="11"/>
        <v>0.0007839298901884075</v>
      </c>
    </row>
    <row r="106" spans="1:17" ht="16.5" customHeight="1">
      <c r="A106" s="11"/>
      <c r="B106" s="14" t="s">
        <v>489</v>
      </c>
      <c r="C106" s="22"/>
      <c r="D106" s="22"/>
      <c r="E106" s="22" t="s">
        <v>490</v>
      </c>
      <c r="F106" s="11">
        <v>60000</v>
      </c>
      <c r="G106" s="11">
        <v>66000</v>
      </c>
      <c r="H106" s="174">
        <f>IF(F106&gt;0,G106/F106*100,"")</f>
        <v>110.00000000000001</v>
      </c>
      <c r="I106" s="174" t="e">
        <f>F106/F306</f>
        <v>#REF!</v>
      </c>
      <c r="K106" s="11">
        <v>0</v>
      </c>
      <c r="L106" s="11">
        <v>0</v>
      </c>
      <c r="M106" s="11">
        <v>55000</v>
      </c>
      <c r="N106" s="11">
        <v>0</v>
      </c>
      <c r="O106" s="11">
        <v>0</v>
      </c>
      <c r="P106" s="11">
        <v>49000</v>
      </c>
      <c r="Q106" s="9">
        <f t="shared" si="11"/>
        <v>0.0021340313677351095</v>
      </c>
    </row>
    <row r="107" spans="1:17" ht="16.5" customHeight="1">
      <c r="A107" s="11"/>
      <c r="B107" s="14" t="s">
        <v>479</v>
      </c>
      <c r="C107" s="22"/>
      <c r="D107" s="22"/>
      <c r="E107" s="22" t="s">
        <v>480</v>
      </c>
      <c r="F107" s="11">
        <v>16160</v>
      </c>
      <c r="G107" s="11">
        <v>16748</v>
      </c>
      <c r="H107" s="174">
        <f>IF(F107&gt;0,G107/F107*100,"")</f>
        <v>103.63861386138613</v>
      </c>
      <c r="I107" s="174" t="e">
        <f>F107/F306</f>
        <v>#REF!</v>
      </c>
      <c r="K107" s="11">
        <v>0</v>
      </c>
      <c r="L107" s="11">
        <v>0</v>
      </c>
      <c r="M107" s="11">
        <v>700</v>
      </c>
      <c r="N107" s="11">
        <v>0</v>
      </c>
      <c r="O107" s="11">
        <v>0</v>
      </c>
      <c r="P107" s="11">
        <v>100</v>
      </c>
      <c r="Q107" s="9">
        <f t="shared" si="11"/>
        <v>4.355166056602264E-06</v>
      </c>
    </row>
    <row r="108" spans="1:17" ht="16.5" customHeight="1" hidden="1">
      <c r="A108" s="11"/>
      <c r="B108" s="14" t="s">
        <v>502</v>
      </c>
      <c r="C108" s="22"/>
      <c r="D108" s="22"/>
      <c r="E108" s="22" t="s">
        <v>492</v>
      </c>
      <c r="F108" s="11"/>
      <c r="G108" s="11"/>
      <c r="H108" s="174"/>
      <c r="I108" s="174"/>
      <c r="K108" s="11"/>
      <c r="L108" s="11"/>
      <c r="M108" s="11">
        <v>200</v>
      </c>
      <c r="N108" s="11">
        <v>0</v>
      </c>
      <c r="O108" s="11">
        <v>0</v>
      </c>
      <c r="P108" s="11">
        <v>0</v>
      </c>
      <c r="Q108" s="9">
        <f t="shared" si="11"/>
        <v>0</v>
      </c>
    </row>
    <row r="109" spans="1:17" ht="37.5" customHeight="1">
      <c r="A109" s="10" t="s">
        <v>481</v>
      </c>
      <c r="B109" s="7" t="s">
        <v>527</v>
      </c>
      <c r="C109" s="31"/>
      <c r="D109" s="31" t="s">
        <v>290</v>
      </c>
      <c r="E109" s="31"/>
      <c r="F109" s="10" t="e">
        <f>F110+F111+#REF!+F112</f>
        <v>#REF!</v>
      </c>
      <c r="G109" s="10" t="e">
        <f>G110+G111+#REF!+G112</f>
        <v>#REF!</v>
      </c>
      <c r="H109" s="168" t="e">
        <f aca="true" t="shared" si="22" ref="H109:H118">IF(F109&gt;0,G109/F109*100,"")</f>
        <v>#REF!</v>
      </c>
      <c r="I109" s="168" t="e">
        <f>F109/F306</f>
        <v>#REF!</v>
      </c>
      <c r="J109" s="41"/>
      <c r="K109" s="10" t="e">
        <f>K111+#REF!+K112</f>
        <v>#REF!</v>
      </c>
      <c r="L109" s="10" t="e">
        <f>L111+#REF!+L112</f>
        <v>#REF!</v>
      </c>
      <c r="M109" s="10" t="e">
        <f>M111+#REF!+M112</f>
        <v>#REF!</v>
      </c>
      <c r="N109" s="10" t="e">
        <f>N111+#REF!+N112</f>
        <v>#REF!</v>
      </c>
      <c r="O109" s="10" t="e">
        <f>O111+#REF!+O112</f>
        <v>#REF!</v>
      </c>
      <c r="P109" s="252">
        <f>P111+P112</f>
        <v>22890</v>
      </c>
      <c r="Q109" s="9">
        <f t="shared" si="11"/>
        <v>0.0009968975103562582</v>
      </c>
    </row>
    <row r="110" spans="1:17" ht="16.5" customHeight="1" hidden="1">
      <c r="A110" s="11"/>
      <c r="B110" s="14" t="s">
        <v>483</v>
      </c>
      <c r="C110" s="22"/>
      <c r="D110" s="22"/>
      <c r="E110" s="22" t="s">
        <v>484</v>
      </c>
      <c r="F110" s="11">
        <v>10</v>
      </c>
      <c r="G110" s="11">
        <v>0</v>
      </c>
      <c r="H110" s="174">
        <f t="shared" si="22"/>
        <v>0</v>
      </c>
      <c r="I110" s="174" t="e">
        <f>F110/F306</f>
        <v>#REF!</v>
      </c>
      <c r="K110" s="11"/>
      <c r="L110" s="11"/>
      <c r="M110" s="11"/>
      <c r="N110" s="11"/>
      <c r="O110" s="11"/>
      <c r="P110" s="11"/>
      <c r="Q110" s="9">
        <f t="shared" si="11"/>
        <v>0</v>
      </c>
    </row>
    <row r="111" spans="1:17" ht="52.5" customHeight="1">
      <c r="A111" s="11"/>
      <c r="B111" s="14" t="s">
        <v>516</v>
      </c>
      <c r="C111" s="22"/>
      <c r="D111" s="22"/>
      <c r="E111" s="22" t="s">
        <v>488</v>
      </c>
      <c r="F111" s="11">
        <v>19580</v>
      </c>
      <c r="G111" s="11">
        <v>23550</v>
      </c>
      <c r="H111" s="174">
        <f t="shared" si="22"/>
        <v>120.27579162410622</v>
      </c>
      <c r="I111" s="174" t="e">
        <f>F111/F306</f>
        <v>#REF!</v>
      </c>
      <c r="K111" s="11">
        <v>0</v>
      </c>
      <c r="L111" s="11">
        <v>0</v>
      </c>
      <c r="M111" s="11">
        <v>22560</v>
      </c>
      <c r="N111" s="11">
        <v>0</v>
      </c>
      <c r="O111" s="11">
        <v>0</v>
      </c>
      <c r="P111" s="11">
        <v>22740</v>
      </c>
      <c r="Q111" s="9">
        <f t="shared" si="11"/>
        <v>0.0009903647612713549</v>
      </c>
    </row>
    <row r="112" spans="1:17" ht="16.5" customHeight="1">
      <c r="A112" s="11"/>
      <c r="B112" s="14" t="s">
        <v>479</v>
      </c>
      <c r="C112" s="22"/>
      <c r="D112" s="22"/>
      <c r="E112" s="22" t="s">
        <v>480</v>
      </c>
      <c r="F112" s="11">
        <v>1563</v>
      </c>
      <c r="G112" s="11">
        <v>1863</v>
      </c>
      <c r="H112" s="174">
        <f t="shared" si="22"/>
        <v>119.19385796545106</v>
      </c>
      <c r="I112" s="174" t="e">
        <f>F112/F306</f>
        <v>#REF!</v>
      </c>
      <c r="K112" s="11">
        <v>0</v>
      </c>
      <c r="L112" s="11">
        <v>0</v>
      </c>
      <c r="M112" s="11">
        <v>100</v>
      </c>
      <c r="N112" s="11">
        <v>0</v>
      </c>
      <c r="O112" s="11">
        <v>0</v>
      </c>
      <c r="P112" s="11">
        <v>150</v>
      </c>
      <c r="Q112" s="9">
        <f t="shared" si="11"/>
        <v>6.532749084903396E-06</v>
      </c>
    </row>
    <row r="113" spans="1:17" ht="16.5" customHeight="1">
      <c r="A113" s="10" t="s">
        <v>518</v>
      </c>
      <c r="B113" s="7" t="s">
        <v>293</v>
      </c>
      <c r="C113" s="31"/>
      <c r="D113" s="31" t="s">
        <v>292</v>
      </c>
      <c r="E113" s="31"/>
      <c r="F113" s="10">
        <f>F114+F115</f>
        <v>21680</v>
      </c>
      <c r="G113" s="10">
        <f>G114+G115</f>
        <v>17100</v>
      </c>
      <c r="H113" s="168">
        <f t="shared" si="22"/>
        <v>78.87453874538745</v>
      </c>
      <c r="I113" s="168" t="e">
        <f>F113/F306</f>
        <v>#REF!</v>
      </c>
      <c r="J113" s="41"/>
      <c r="K113" s="10">
        <f>K114+K115</f>
        <v>0</v>
      </c>
      <c r="L113" s="10">
        <f>L114+L115</f>
        <v>0</v>
      </c>
      <c r="M113" s="10">
        <f>M114+M115+M118</f>
        <v>278260</v>
      </c>
      <c r="N113" s="10">
        <f>N114+N115+N118</f>
        <v>0</v>
      </c>
      <c r="O113" s="10">
        <f>O114+O115+O118</f>
        <v>0</v>
      </c>
      <c r="P113" s="252">
        <f>P114+P115+P118+P123+P124</f>
        <v>344173</v>
      </c>
      <c r="Q113" s="9">
        <f t="shared" si="11"/>
        <v>0.01498930567198971</v>
      </c>
    </row>
    <row r="114" spans="1:17" ht="51.75" customHeight="1">
      <c r="A114" s="11"/>
      <c r="B114" s="14" t="s">
        <v>516</v>
      </c>
      <c r="C114" s="22"/>
      <c r="D114" s="22"/>
      <c r="E114" s="22" t="s">
        <v>488</v>
      </c>
      <c r="F114" s="11">
        <v>19535</v>
      </c>
      <c r="G114" s="11">
        <v>14800</v>
      </c>
      <c r="H114" s="174">
        <f t="shared" si="22"/>
        <v>75.76145380087024</v>
      </c>
      <c r="I114" s="174" t="e">
        <f>F114/F306</f>
        <v>#REF!</v>
      </c>
      <c r="K114" s="11">
        <v>0</v>
      </c>
      <c r="L114" s="11">
        <v>0</v>
      </c>
      <c r="M114" s="11">
        <v>165726</v>
      </c>
      <c r="N114" s="11">
        <v>0</v>
      </c>
      <c r="O114" s="11">
        <v>0</v>
      </c>
      <c r="P114" s="11">
        <v>187501</v>
      </c>
      <c r="Q114" s="9">
        <f t="shared" si="11"/>
        <v>0.00816597990778981</v>
      </c>
    </row>
    <row r="115" spans="1:17" ht="16.5" customHeight="1">
      <c r="A115" s="11"/>
      <c r="B115" s="14" t="s">
        <v>489</v>
      </c>
      <c r="C115" s="22"/>
      <c r="D115" s="22"/>
      <c r="E115" s="22" t="s">
        <v>490</v>
      </c>
      <c r="F115" s="11">
        <v>2145</v>
      </c>
      <c r="G115" s="11">
        <v>2300</v>
      </c>
      <c r="H115" s="174">
        <f t="shared" si="22"/>
        <v>107.22610722610723</v>
      </c>
      <c r="I115" s="174" t="e">
        <f>F115/F306</f>
        <v>#REF!</v>
      </c>
      <c r="K115" s="11">
        <v>0</v>
      </c>
      <c r="L115" s="11">
        <v>0</v>
      </c>
      <c r="M115" s="11">
        <v>92012</v>
      </c>
      <c r="N115" s="11">
        <v>0</v>
      </c>
      <c r="O115" s="11">
        <v>0</v>
      </c>
      <c r="P115" s="11">
        <v>100384</v>
      </c>
      <c r="Q115" s="9">
        <f t="shared" si="11"/>
        <v>0.004371889894259616</v>
      </c>
    </row>
    <row r="116" spans="1:17" ht="18.75" customHeight="1" hidden="1">
      <c r="A116" s="10" t="s">
        <v>446</v>
      </c>
      <c r="B116" s="178" t="s">
        <v>377</v>
      </c>
      <c r="C116" s="22" t="s">
        <v>306</v>
      </c>
      <c r="D116" s="22"/>
      <c r="E116" s="22"/>
      <c r="F116" s="11">
        <f>F117</f>
        <v>700</v>
      </c>
      <c r="G116" s="11">
        <f>G117</f>
        <v>0</v>
      </c>
      <c r="H116" s="174">
        <f t="shared" si="22"/>
        <v>0</v>
      </c>
      <c r="I116" s="174" t="e">
        <f>F116/F306</f>
        <v>#REF!</v>
      </c>
      <c r="K116" s="11"/>
      <c r="L116" s="11"/>
      <c r="M116" s="11"/>
      <c r="N116" s="11"/>
      <c r="O116" s="11"/>
      <c r="P116" s="11"/>
      <c r="Q116" s="9">
        <f aca="true" t="shared" si="23" ref="Q116:Q192">P116/$P$306</f>
        <v>0</v>
      </c>
    </row>
    <row r="117" spans="1:17" ht="19.5" customHeight="1" hidden="1">
      <c r="A117" s="11" t="s">
        <v>478</v>
      </c>
      <c r="B117" s="14" t="s">
        <v>124</v>
      </c>
      <c r="C117" s="22"/>
      <c r="D117" s="22" t="s">
        <v>311</v>
      </c>
      <c r="E117" s="22"/>
      <c r="F117" s="11">
        <f>F118</f>
        <v>700</v>
      </c>
      <c r="G117" s="11">
        <f>G118</f>
        <v>0</v>
      </c>
      <c r="H117" s="174">
        <f t="shared" si="22"/>
        <v>0</v>
      </c>
      <c r="I117" s="174" t="e">
        <f>F117/F306</f>
        <v>#REF!</v>
      </c>
      <c r="K117" s="11"/>
      <c r="L117" s="11"/>
      <c r="M117" s="11"/>
      <c r="N117" s="11"/>
      <c r="O117" s="11"/>
      <c r="P117" s="11"/>
      <c r="Q117" s="9">
        <f t="shared" si="23"/>
        <v>0</v>
      </c>
    </row>
    <row r="118" spans="1:17" ht="20.25" customHeight="1" hidden="1">
      <c r="A118" s="11"/>
      <c r="B118" s="14" t="s">
        <v>502</v>
      </c>
      <c r="C118" s="22"/>
      <c r="D118" s="22"/>
      <c r="E118" s="22" t="s">
        <v>492</v>
      </c>
      <c r="F118" s="11">
        <v>700</v>
      </c>
      <c r="G118" s="11">
        <v>0</v>
      </c>
      <c r="H118" s="174">
        <f t="shared" si="22"/>
        <v>0</v>
      </c>
      <c r="I118" s="174">
        <f>G118/F118*100</f>
        <v>0</v>
      </c>
      <c r="K118" s="11"/>
      <c r="L118" s="11"/>
      <c r="M118" s="11">
        <v>20522</v>
      </c>
      <c r="N118" s="11">
        <v>0</v>
      </c>
      <c r="O118" s="11">
        <v>0</v>
      </c>
      <c r="P118" s="11">
        <v>0</v>
      </c>
      <c r="Q118" s="9">
        <f t="shared" si="23"/>
        <v>0</v>
      </c>
    </row>
    <row r="119" spans="1:17" ht="19.5" customHeight="1" hidden="1">
      <c r="A119" s="11"/>
      <c r="B119" s="14"/>
      <c r="C119" s="22"/>
      <c r="D119" s="22"/>
      <c r="E119" s="22"/>
      <c r="F119" s="11"/>
      <c r="G119" s="11"/>
      <c r="H119" s="174"/>
      <c r="I119" s="174"/>
      <c r="K119" s="11"/>
      <c r="L119" s="11"/>
      <c r="M119" s="11"/>
      <c r="N119" s="11"/>
      <c r="O119" s="11"/>
      <c r="P119" s="11"/>
      <c r="Q119" s="9">
        <f t="shared" si="23"/>
        <v>0</v>
      </c>
    </row>
    <row r="120" spans="1:17" ht="18.75" customHeight="1" hidden="1">
      <c r="A120" s="10" t="s">
        <v>446</v>
      </c>
      <c r="B120" s="7" t="s">
        <v>377</v>
      </c>
      <c r="C120" s="31" t="s">
        <v>306</v>
      </c>
      <c r="D120" s="31"/>
      <c r="E120" s="31"/>
      <c r="F120" s="10"/>
      <c r="G120" s="10">
        <f>G121</f>
        <v>450</v>
      </c>
      <c r="H120" s="168"/>
      <c r="I120" s="168"/>
      <c r="J120" s="41"/>
      <c r="K120" s="10">
        <f aca="true" t="shared" si="24" ref="K120:M121">K121</f>
        <v>0</v>
      </c>
      <c r="L120" s="10">
        <f t="shared" si="24"/>
        <v>0</v>
      </c>
      <c r="M120" s="10">
        <f t="shared" si="24"/>
        <v>902</v>
      </c>
      <c r="N120" s="10">
        <f aca="true" t="shared" si="25" ref="N120:P121">N121</f>
        <v>0</v>
      </c>
      <c r="O120" s="10">
        <f t="shared" si="25"/>
        <v>0</v>
      </c>
      <c r="P120" s="252">
        <f t="shared" si="25"/>
        <v>0</v>
      </c>
      <c r="Q120" s="9">
        <f t="shared" si="23"/>
        <v>0</v>
      </c>
    </row>
    <row r="121" spans="1:17" ht="19.5" customHeight="1" hidden="1">
      <c r="A121" s="11" t="s">
        <v>478</v>
      </c>
      <c r="B121" s="14" t="s">
        <v>124</v>
      </c>
      <c r="C121" s="22"/>
      <c r="D121" s="31" t="s">
        <v>311</v>
      </c>
      <c r="E121" s="31"/>
      <c r="F121" s="10"/>
      <c r="G121" s="10">
        <f>G122</f>
        <v>450</v>
      </c>
      <c r="H121" s="168"/>
      <c r="I121" s="168"/>
      <c r="J121" s="41"/>
      <c r="K121" s="10">
        <f t="shared" si="24"/>
        <v>0</v>
      </c>
      <c r="L121" s="10">
        <f t="shared" si="24"/>
        <v>0</v>
      </c>
      <c r="M121" s="10">
        <f t="shared" si="24"/>
        <v>902</v>
      </c>
      <c r="N121" s="10">
        <f t="shared" si="25"/>
        <v>0</v>
      </c>
      <c r="O121" s="10">
        <f t="shared" si="25"/>
        <v>0</v>
      </c>
      <c r="P121" s="252">
        <f t="shared" si="25"/>
        <v>0</v>
      </c>
      <c r="Q121" s="9">
        <f t="shared" si="23"/>
        <v>0</v>
      </c>
    </row>
    <row r="122" spans="1:17" ht="19.5" customHeight="1" hidden="1">
      <c r="A122" s="11"/>
      <c r="B122" s="14" t="s">
        <v>502</v>
      </c>
      <c r="C122" s="22"/>
      <c r="D122" s="22"/>
      <c r="E122" s="22" t="s">
        <v>492</v>
      </c>
      <c r="F122" s="11"/>
      <c r="G122">
        <v>450</v>
      </c>
      <c r="H122" s="174"/>
      <c r="I122" s="174"/>
      <c r="K122" s="11">
        <v>0</v>
      </c>
      <c r="L122" s="11">
        <v>0</v>
      </c>
      <c r="M122" s="11">
        <v>902</v>
      </c>
      <c r="N122" s="11">
        <v>0</v>
      </c>
      <c r="O122" s="11">
        <v>0</v>
      </c>
      <c r="P122" s="11">
        <v>0</v>
      </c>
      <c r="Q122" s="9">
        <f t="shared" si="23"/>
        <v>0</v>
      </c>
    </row>
    <row r="123" spans="1:17" ht="19.5" customHeight="1">
      <c r="A123" s="11"/>
      <c r="B123" s="14" t="s">
        <v>479</v>
      </c>
      <c r="C123" s="22"/>
      <c r="D123" s="22"/>
      <c r="E123" s="22" t="s">
        <v>480</v>
      </c>
      <c r="F123" s="11"/>
      <c r="H123" s="174"/>
      <c r="I123" s="174"/>
      <c r="K123" s="11"/>
      <c r="L123" s="11"/>
      <c r="M123" s="11"/>
      <c r="N123" s="11"/>
      <c r="O123" s="11"/>
      <c r="P123" s="11">
        <v>4719</v>
      </c>
      <c r="Q123" s="9"/>
    </row>
    <row r="124" spans="1:17" ht="19.5" customHeight="1">
      <c r="A124" s="11"/>
      <c r="B124" s="14" t="s">
        <v>502</v>
      </c>
      <c r="C124" s="22"/>
      <c r="D124" s="22"/>
      <c r="E124" s="22" t="s">
        <v>492</v>
      </c>
      <c r="F124" s="11"/>
      <c r="H124" s="174"/>
      <c r="I124" s="174"/>
      <c r="K124" s="11"/>
      <c r="L124" s="11"/>
      <c r="M124" s="11"/>
      <c r="N124" s="11"/>
      <c r="O124" s="11"/>
      <c r="P124" s="11">
        <v>51569</v>
      </c>
      <c r="Q124" s="9"/>
    </row>
    <row r="125" spans="1:17" ht="33" customHeight="1">
      <c r="A125" s="10" t="s">
        <v>338</v>
      </c>
      <c r="B125" s="7" t="s">
        <v>528</v>
      </c>
      <c r="C125" s="31"/>
      <c r="D125" s="31"/>
      <c r="E125" s="31"/>
      <c r="F125" s="10"/>
      <c r="G125" s="10">
        <f>G126</f>
        <v>235000</v>
      </c>
      <c r="H125" s="168"/>
      <c r="I125" s="168"/>
      <c r="J125" s="41"/>
      <c r="K125" s="10">
        <f aca="true" t="shared" si="26" ref="K125:L127">K126</f>
        <v>0</v>
      </c>
      <c r="L125" s="10">
        <f t="shared" si="26"/>
        <v>0</v>
      </c>
      <c r="M125" s="10">
        <f>M126+M130</f>
        <v>211009</v>
      </c>
      <c r="N125" s="10">
        <f>N126+N130</f>
        <v>0</v>
      </c>
      <c r="O125" s="10">
        <f>O126+O130</f>
        <v>0</v>
      </c>
      <c r="P125" s="252">
        <f>P126+P130</f>
        <v>510000</v>
      </c>
      <c r="Q125" s="9">
        <f t="shared" si="23"/>
        <v>0.022211346888671546</v>
      </c>
    </row>
    <row r="126" spans="1:17" ht="24" customHeight="1">
      <c r="A126" s="10" t="s">
        <v>393</v>
      </c>
      <c r="B126" s="7" t="s">
        <v>542</v>
      </c>
      <c r="C126" s="31" t="s">
        <v>74</v>
      </c>
      <c r="D126" s="31"/>
      <c r="E126" s="31"/>
      <c r="F126" s="10"/>
      <c r="G126" s="10">
        <f>G127</f>
        <v>235000</v>
      </c>
      <c r="H126" s="168"/>
      <c r="I126" s="168"/>
      <c r="J126" s="41"/>
      <c r="K126" s="10">
        <f t="shared" si="26"/>
        <v>0</v>
      </c>
      <c r="L126" s="10">
        <f t="shared" si="26"/>
        <v>0</v>
      </c>
      <c r="M126" s="10">
        <f aca="true" t="shared" si="27" ref="M126:P127">M127</f>
        <v>11009</v>
      </c>
      <c r="N126" s="10">
        <f t="shared" si="27"/>
        <v>0</v>
      </c>
      <c r="O126" s="10">
        <f t="shared" si="27"/>
        <v>0</v>
      </c>
      <c r="P126" s="252">
        <f t="shared" si="27"/>
        <v>55000</v>
      </c>
      <c r="Q126" s="9">
        <f t="shared" si="23"/>
        <v>0.0023953413311312453</v>
      </c>
    </row>
    <row r="127" spans="1:17" ht="15.75" customHeight="1">
      <c r="A127" s="11" t="s">
        <v>478</v>
      </c>
      <c r="B127" s="14" t="s">
        <v>639</v>
      </c>
      <c r="C127" s="22"/>
      <c r="D127" s="31" t="s">
        <v>640</v>
      </c>
      <c r="E127" s="31"/>
      <c r="F127" s="10"/>
      <c r="G127" s="10">
        <v>235000</v>
      </c>
      <c r="H127" s="168"/>
      <c r="I127" s="168"/>
      <c r="J127" s="41"/>
      <c r="K127" s="10">
        <f t="shared" si="26"/>
        <v>0</v>
      </c>
      <c r="L127" s="10">
        <f t="shared" si="26"/>
        <v>0</v>
      </c>
      <c r="M127" s="10">
        <f t="shared" si="27"/>
        <v>11009</v>
      </c>
      <c r="N127" s="10">
        <f t="shared" si="27"/>
        <v>0</v>
      </c>
      <c r="O127" s="10">
        <f t="shared" si="27"/>
        <v>0</v>
      </c>
      <c r="P127" s="252">
        <f t="shared" si="27"/>
        <v>55000</v>
      </c>
      <c r="Q127" s="9">
        <f t="shared" si="23"/>
        <v>0.0023953413311312453</v>
      </c>
    </row>
    <row r="128" spans="1:17" ht="22.5" customHeight="1">
      <c r="A128" s="11"/>
      <c r="B128" s="14" t="s">
        <v>626</v>
      </c>
      <c r="C128" s="22"/>
      <c r="D128" s="22"/>
      <c r="E128" s="22" t="s">
        <v>638</v>
      </c>
      <c r="F128" s="11"/>
      <c r="G128" s="11">
        <v>235000</v>
      </c>
      <c r="H128" s="174"/>
      <c r="I128" s="174"/>
      <c r="K128" s="11">
        <v>0</v>
      </c>
      <c r="L128" s="11">
        <v>0</v>
      </c>
      <c r="M128" s="11">
        <v>11009</v>
      </c>
      <c r="N128" s="11">
        <v>0</v>
      </c>
      <c r="O128" s="11">
        <v>0</v>
      </c>
      <c r="P128" s="11">
        <v>55000</v>
      </c>
      <c r="Q128" s="9">
        <f t="shared" si="23"/>
        <v>0.0023953413311312453</v>
      </c>
    </row>
    <row r="129" spans="1:17" ht="21" customHeight="1" hidden="1">
      <c r="A129" s="11"/>
      <c r="B129" s="14" t="s">
        <v>530</v>
      </c>
      <c r="C129" s="22"/>
      <c r="D129" s="22"/>
      <c r="E129" s="22" t="s">
        <v>531</v>
      </c>
      <c r="F129" s="11"/>
      <c r="G129" s="11"/>
      <c r="H129" s="174"/>
      <c r="I129" s="174"/>
      <c r="K129" s="11"/>
      <c r="L129" s="11"/>
      <c r="M129" s="11">
        <v>0</v>
      </c>
      <c r="N129" s="11"/>
      <c r="O129" s="11"/>
      <c r="P129" s="11"/>
      <c r="Q129" s="9">
        <f t="shared" si="23"/>
        <v>0</v>
      </c>
    </row>
    <row r="130" spans="1:17" ht="21" customHeight="1">
      <c r="A130" s="10" t="s">
        <v>395</v>
      </c>
      <c r="B130" s="7" t="s">
        <v>515</v>
      </c>
      <c r="C130" s="31" t="s">
        <v>168</v>
      </c>
      <c r="D130" s="31"/>
      <c r="E130" s="31"/>
      <c r="F130" s="10"/>
      <c r="G130" s="10"/>
      <c r="H130" s="168"/>
      <c r="I130" s="168"/>
      <c r="J130" s="41"/>
      <c r="K130" s="10"/>
      <c r="L130" s="10"/>
      <c r="M130" s="10">
        <f aca="true" t="shared" si="28" ref="M130:P131">M131</f>
        <v>200000</v>
      </c>
      <c r="N130" s="10">
        <f t="shared" si="28"/>
        <v>0</v>
      </c>
      <c r="O130" s="10">
        <f t="shared" si="28"/>
        <v>0</v>
      </c>
      <c r="P130" s="252">
        <f t="shared" si="28"/>
        <v>455000</v>
      </c>
      <c r="Q130" s="9">
        <f t="shared" si="23"/>
        <v>0.019816005557540303</v>
      </c>
    </row>
    <row r="131" spans="1:17" ht="21" customHeight="1">
      <c r="A131" s="11" t="s">
        <v>478</v>
      </c>
      <c r="B131" s="14" t="s">
        <v>192</v>
      </c>
      <c r="C131" s="22"/>
      <c r="D131" s="31" t="s">
        <v>191</v>
      </c>
      <c r="E131" s="31"/>
      <c r="F131" s="10"/>
      <c r="G131" s="10"/>
      <c r="H131" s="168"/>
      <c r="I131" s="168"/>
      <c r="J131" s="41"/>
      <c r="K131" s="10"/>
      <c r="L131" s="10"/>
      <c r="M131" s="10">
        <f t="shared" si="28"/>
        <v>200000</v>
      </c>
      <c r="N131" s="10">
        <f t="shared" si="28"/>
        <v>0</v>
      </c>
      <c r="O131" s="10">
        <f t="shared" si="28"/>
        <v>0</v>
      </c>
      <c r="P131" s="252">
        <f t="shared" si="28"/>
        <v>455000</v>
      </c>
      <c r="Q131" s="9">
        <f t="shared" si="23"/>
        <v>0.019816005557540303</v>
      </c>
    </row>
    <row r="132" spans="1:17" ht="42" customHeight="1">
      <c r="A132" s="11"/>
      <c r="B132" s="14" t="s">
        <v>532</v>
      </c>
      <c r="C132" s="22"/>
      <c r="D132" s="22"/>
      <c r="E132" s="22" t="s">
        <v>529</v>
      </c>
      <c r="F132" s="11"/>
      <c r="G132" s="11"/>
      <c r="H132" s="174"/>
      <c r="I132" s="174"/>
      <c r="K132" s="11"/>
      <c r="L132" s="11"/>
      <c r="M132" s="11">
        <v>200000</v>
      </c>
      <c r="N132" s="11">
        <v>0</v>
      </c>
      <c r="O132" s="11">
        <v>0</v>
      </c>
      <c r="P132" s="11">
        <v>455000</v>
      </c>
      <c r="Q132" s="9">
        <f t="shared" si="23"/>
        <v>0.019816005557540303</v>
      </c>
    </row>
    <row r="133" spans="1:17" ht="68.25" customHeight="1" hidden="1">
      <c r="A133" s="87" t="s">
        <v>391</v>
      </c>
      <c r="B133" s="7" t="s">
        <v>533</v>
      </c>
      <c r="C133" s="87"/>
      <c r="D133" s="87"/>
      <c r="E133" s="87"/>
      <c r="F133" s="12">
        <f>F137</f>
        <v>1523330</v>
      </c>
      <c r="G133" s="175">
        <f>G137+G134</f>
        <v>12000</v>
      </c>
      <c r="H133" s="168">
        <f>IF(F133&gt;0,G133/F133*100,"")</f>
        <v>0.7877478944155238</v>
      </c>
      <c r="I133" s="13" t="e">
        <f>F133/F306</f>
        <v>#REF!</v>
      </c>
      <c r="J133" s="41"/>
      <c r="K133" s="10">
        <f>K137+K134</f>
        <v>0</v>
      </c>
      <c r="L133" s="10">
        <f>L137+L134</f>
        <v>0</v>
      </c>
      <c r="M133" s="10">
        <f>M134+M137</f>
        <v>93468</v>
      </c>
      <c r="N133" s="10">
        <f>N134+N137</f>
        <v>0</v>
      </c>
      <c r="O133" s="10">
        <f>O134+O137</f>
        <v>0</v>
      </c>
      <c r="P133" s="252">
        <f>P134+P137</f>
        <v>0</v>
      </c>
      <c r="Q133" s="9">
        <f t="shared" si="23"/>
        <v>0</v>
      </c>
    </row>
    <row r="134" spans="1:17" ht="21.75" customHeight="1" hidden="1">
      <c r="A134" s="188" t="s">
        <v>393</v>
      </c>
      <c r="B134" s="189" t="s">
        <v>485</v>
      </c>
      <c r="C134" s="188">
        <v>600</v>
      </c>
      <c r="D134" s="188"/>
      <c r="E134" s="188"/>
      <c r="F134" s="12"/>
      <c r="G134" s="175">
        <f>G135</f>
        <v>10000</v>
      </c>
      <c r="H134" s="168"/>
      <c r="I134" s="13"/>
      <c r="J134" s="41"/>
      <c r="K134" s="10">
        <f aca="true" t="shared" si="29" ref="K134:M135">K135</f>
        <v>0</v>
      </c>
      <c r="L134" s="10">
        <f t="shared" si="29"/>
        <v>0</v>
      </c>
      <c r="M134" s="10">
        <f t="shared" si="29"/>
        <v>60468</v>
      </c>
      <c r="N134" s="10">
        <f aca="true" t="shared" si="30" ref="N134:P135">N135</f>
        <v>0</v>
      </c>
      <c r="O134" s="10">
        <f t="shared" si="30"/>
        <v>0</v>
      </c>
      <c r="P134" s="252">
        <f t="shared" si="30"/>
        <v>0</v>
      </c>
      <c r="Q134" s="9">
        <f t="shared" si="23"/>
        <v>0</v>
      </c>
    </row>
    <row r="135" spans="1:17" ht="21" customHeight="1" hidden="1">
      <c r="A135" s="26" t="s">
        <v>478</v>
      </c>
      <c r="B135" s="33" t="s">
        <v>486</v>
      </c>
      <c r="C135" s="26"/>
      <c r="D135" s="87">
        <v>60014</v>
      </c>
      <c r="E135" s="87"/>
      <c r="F135" s="12"/>
      <c r="G135" s="175">
        <f>G136</f>
        <v>10000</v>
      </c>
      <c r="H135" s="168"/>
      <c r="I135" s="13"/>
      <c r="J135" s="41"/>
      <c r="K135" s="10">
        <f t="shared" si="29"/>
        <v>0</v>
      </c>
      <c r="L135" s="10">
        <f t="shared" si="29"/>
        <v>0</v>
      </c>
      <c r="M135" s="10">
        <f t="shared" si="29"/>
        <v>60468</v>
      </c>
      <c r="N135" s="10">
        <f t="shared" si="30"/>
        <v>0</v>
      </c>
      <c r="O135" s="10">
        <f t="shared" si="30"/>
        <v>0</v>
      </c>
      <c r="P135" s="252">
        <f t="shared" si="30"/>
        <v>0</v>
      </c>
      <c r="Q135" s="9">
        <f t="shared" si="23"/>
        <v>0</v>
      </c>
    </row>
    <row r="136" spans="1:17" ht="37.5" customHeight="1" hidden="1">
      <c r="A136" s="26"/>
      <c r="B136" s="190" t="s">
        <v>534</v>
      </c>
      <c r="C136" s="191"/>
      <c r="D136" s="191"/>
      <c r="E136" s="191">
        <v>232</v>
      </c>
      <c r="F136" s="192"/>
      <c r="G136" s="193">
        <v>10000</v>
      </c>
      <c r="H136" s="194"/>
      <c r="I136" s="195"/>
      <c r="J136" s="163"/>
      <c r="K136" s="196">
        <v>0</v>
      </c>
      <c r="L136" s="196">
        <v>0</v>
      </c>
      <c r="M136" s="110">
        <v>60468</v>
      </c>
      <c r="N136" s="110">
        <v>0</v>
      </c>
      <c r="O136" s="110">
        <v>0</v>
      </c>
      <c r="P136" s="11"/>
      <c r="Q136" s="9">
        <f t="shared" si="23"/>
        <v>0</v>
      </c>
    </row>
    <row r="137" spans="1:17" ht="25.5" customHeight="1" hidden="1">
      <c r="A137" s="61" t="s">
        <v>395</v>
      </c>
      <c r="B137" s="197" t="s">
        <v>535</v>
      </c>
      <c r="C137" s="87">
        <v>754</v>
      </c>
      <c r="D137" s="87"/>
      <c r="E137" s="87"/>
      <c r="F137" s="12">
        <f>F138</f>
        <v>1523330</v>
      </c>
      <c r="G137" s="175">
        <f>G138</f>
        <v>2000</v>
      </c>
      <c r="H137" s="168">
        <f>IF(F137&gt;0,G137/F137*100,"")</f>
        <v>0.13129131573592065</v>
      </c>
      <c r="I137" s="13" t="e">
        <f>F137/F306</f>
        <v>#REF!</v>
      </c>
      <c r="J137" s="198"/>
      <c r="K137" s="10">
        <f aca="true" t="shared" si="31" ref="K137:M138">K138</f>
        <v>0</v>
      </c>
      <c r="L137" s="10">
        <f t="shared" si="31"/>
        <v>0</v>
      </c>
      <c r="M137" s="10">
        <f>M138+M140</f>
        <v>33000</v>
      </c>
      <c r="N137" s="10">
        <f>N138+N140</f>
        <v>0</v>
      </c>
      <c r="O137" s="10">
        <f>O138+O140</f>
        <v>0</v>
      </c>
      <c r="P137" s="252">
        <f>P138+P140</f>
        <v>0</v>
      </c>
      <c r="Q137" s="9">
        <f t="shared" si="23"/>
        <v>0</v>
      </c>
    </row>
    <row r="138" spans="1:17" ht="18.75" customHeight="1" hidden="1">
      <c r="A138" s="28" t="s">
        <v>478</v>
      </c>
      <c r="B138" s="7" t="s">
        <v>536</v>
      </c>
      <c r="C138" s="37"/>
      <c r="D138" s="87">
        <v>75405</v>
      </c>
      <c r="E138" s="87"/>
      <c r="F138" s="12">
        <f>F139</f>
        <v>1523330</v>
      </c>
      <c r="G138" s="175">
        <f>G139</f>
        <v>2000</v>
      </c>
      <c r="H138" s="168">
        <f>IF(F138&gt;0,G138/F138*100,"")</f>
        <v>0.13129131573592065</v>
      </c>
      <c r="I138" s="13" t="e">
        <f>F138/F306</f>
        <v>#REF!</v>
      </c>
      <c r="J138" s="202"/>
      <c r="K138" s="10">
        <f t="shared" si="31"/>
        <v>0</v>
      </c>
      <c r="L138" s="10">
        <f t="shared" si="31"/>
        <v>0</v>
      </c>
      <c r="M138" s="10">
        <f t="shared" si="31"/>
        <v>22000</v>
      </c>
      <c r="N138" s="10">
        <f>N139</f>
        <v>0</v>
      </c>
      <c r="O138" s="10">
        <f>O139</f>
        <v>0</v>
      </c>
      <c r="P138" s="252">
        <f>P139</f>
        <v>0</v>
      </c>
      <c r="Q138" s="9">
        <f t="shared" si="23"/>
        <v>0</v>
      </c>
    </row>
    <row r="139" spans="1:17" ht="41.25" customHeight="1" hidden="1">
      <c r="A139" s="23"/>
      <c r="B139" s="33" t="s">
        <v>537</v>
      </c>
      <c r="C139" s="37"/>
      <c r="D139" s="37"/>
      <c r="E139" s="37">
        <v>231</v>
      </c>
      <c r="F139" s="8">
        <v>1523330</v>
      </c>
      <c r="G139" s="176">
        <v>2000</v>
      </c>
      <c r="H139" s="174">
        <f>IF(F139&gt;0,G139/F139*100,"")</f>
        <v>0.13129131573592065</v>
      </c>
      <c r="I139" s="9" t="e">
        <f>F139/F306</f>
        <v>#REF!</v>
      </c>
      <c r="J139" s="46"/>
      <c r="K139" s="11">
        <v>0</v>
      </c>
      <c r="L139" s="11">
        <v>0</v>
      </c>
      <c r="M139" s="11">
        <v>22000</v>
      </c>
      <c r="N139" s="11">
        <v>0</v>
      </c>
      <c r="O139" s="11">
        <v>0</v>
      </c>
      <c r="P139" s="11">
        <v>0</v>
      </c>
      <c r="Q139" s="9">
        <f t="shared" si="23"/>
        <v>0</v>
      </c>
    </row>
    <row r="140" spans="1:17" ht="15" customHeight="1" hidden="1">
      <c r="A140" s="25" t="s">
        <v>481</v>
      </c>
      <c r="B140" s="7" t="s">
        <v>586</v>
      </c>
      <c r="C140" s="199"/>
      <c r="D140" s="200">
        <v>75411</v>
      </c>
      <c r="E140" s="200"/>
      <c r="F140" s="201"/>
      <c r="G140" s="175"/>
      <c r="H140" s="168"/>
      <c r="I140" s="169"/>
      <c r="J140" s="202"/>
      <c r="K140" s="10"/>
      <c r="L140" s="10"/>
      <c r="M140" s="10">
        <f>M141</f>
        <v>11000</v>
      </c>
      <c r="N140" s="10">
        <f>N141</f>
        <v>0</v>
      </c>
      <c r="O140" s="10">
        <f>O141</f>
        <v>0</v>
      </c>
      <c r="P140" s="252">
        <f>P141</f>
        <v>0</v>
      </c>
      <c r="Q140" s="9">
        <f t="shared" si="23"/>
        <v>0</v>
      </c>
    </row>
    <row r="141" spans="1:17" ht="45" customHeight="1" hidden="1">
      <c r="A141" s="23"/>
      <c r="B141" s="33" t="s">
        <v>537</v>
      </c>
      <c r="C141" s="199"/>
      <c r="D141" s="205"/>
      <c r="E141" s="205">
        <v>231</v>
      </c>
      <c r="F141" s="206"/>
      <c r="G141" s="176"/>
      <c r="H141" s="174"/>
      <c r="I141" s="207"/>
      <c r="J141" s="46"/>
      <c r="K141" s="11"/>
      <c r="L141" s="11"/>
      <c r="M141" s="11">
        <v>11000</v>
      </c>
      <c r="N141" s="11">
        <v>0</v>
      </c>
      <c r="O141" s="11">
        <v>0</v>
      </c>
      <c r="P141" s="11">
        <v>0</v>
      </c>
      <c r="Q141" s="9">
        <f t="shared" si="23"/>
        <v>0</v>
      </c>
    </row>
    <row r="142" spans="1:17" ht="54.75" customHeight="1" hidden="1">
      <c r="A142" s="23" t="s">
        <v>410</v>
      </c>
      <c r="B142" s="7" t="s">
        <v>538</v>
      </c>
      <c r="C142" s="199"/>
      <c r="D142" s="200"/>
      <c r="E142" s="200"/>
      <c r="F142" s="201"/>
      <c r="G142" s="175">
        <f>G143+G146</f>
        <v>66010</v>
      </c>
      <c r="H142" s="168"/>
      <c r="I142" s="169"/>
      <c r="J142" s="202"/>
      <c r="K142" s="10">
        <f aca="true" t="shared" si="32" ref="K142:P142">K143+K146</f>
        <v>200000</v>
      </c>
      <c r="L142" s="10">
        <f t="shared" si="32"/>
        <v>0</v>
      </c>
      <c r="M142" s="10">
        <f t="shared" si="32"/>
        <v>75000</v>
      </c>
      <c r="N142" s="10">
        <f t="shared" si="32"/>
        <v>0</v>
      </c>
      <c r="O142" s="10">
        <f t="shared" si="32"/>
        <v>0</v>
      </c>
      <c r="P142" s="252">
        <f t="shared" si="32"/>
        <v>0</v>
      </c>
      <c r="Q142" s="9">
        <f t="shared" si="23"/>
        <v>0</v>
      </c>
    </row>
    <row r="143" spans="1:17" ht="17.25" customHeight="1" hidden="1">
      <c r="A143" s="23" t="s">
        <v>393</v>
      </c>
      <c r="B143" s="203" t="s">
        <v>485</v>
      </c>
      <c r="C143" s="87">
        <v>600</v>
      </c>
      <c r="D143" s="200"/>
      <c r="E143" s="200"/>
      <c r="F143" s="201"/>
      <c r="G143" s="175">
        <f>G144</f>
        <v>66010</v>
      </c>
      <c r="H143" s="168"/>
      <c r="I143" s="169"/>
      <c r="J143" s="202"/>
      <c r="K143" s="10">
        <f aca="true" t="shared" si="33" ref="K143:M144">K144</f>
        <v>0</v>
      </c>
      <c r="L143" s="10">
        <f t="shared" si="33"/>
        <v>0</v>
      </c>
      <c r="M143" s="10">
        <f t="shared" si="33"/>
        <v>75000</v>
      </c>
      <c r="N143" s="10">
        <f aca="true" t="shared" si="34" ref="N143:P144">N144</f>
        <v>0</v>
      </c>
      <c r="O143" s="10">
        <f t="shared" si="34"/>
        <v>0</v>
      </c>
      <c r="P143" s="252">
        <f t="shared" si="34"/>
        <v>0</v>
      </c>
      <c r="Q143" s="9">
        <f t="shared" si="23"/>
        <v>0</v>
      </c>
    </row>
    <row r="144" spans="1:17" ht="23.25" customHeight="1" hidden="1">
      <c r="A144" s="23" t="s">
        <v>478</v>
      </c>
      <c r="B144" s="33" t="s">
        <v>486</v>
      </c>
      <c r="C144" s="199"/>
      <c r="D144" s="200">
        <v>60014</v>
      </c>
      <c r="E144" s="200"/>
      <c r="F144" s="201"/>
      <c r="G144" s="175">
        <f>G145</f>
        <v>66010</v>
      </c>
      <c r="H144" s="168"/>
      <c r="I144" s="169"/>
      <c r="J144" s="202"/>
      <c r="K144" s="10">
        <f t="shared" si="33"/>
        <v>0</v>
      </c>
      <c r="L144" s="10">
        <f t="shared" si="33"/>
        <v>0</v>
      </c>
      <c r="M144" s="10">
        <f t="shared" si="33"/>
        <v>75000</v>
      </c>
      <c r="N144" s="10">
        <f t="shared" si="34"/>
        <v>0</v>
      </c>
      <c r="O144" s="10">
        <f t="shared" si="34"/>
        <v>0</v>
      </c>
      <c r="P144" s="252">
        <f t="shared" si="34"/>
        <v>0</v>
      </c>
      <c r="Q144" s="9">
        <f t="shared" si="23"/>
        <v>0</v>
      </c>
    </row>
    <row r="145" spans="1:17" ht="21" customHeight="1" hidden="1">
      <c r="A145" s="23"/>
      <c r="B145" s="33" t="s">
        <v>539</v>
      </c>
      <c r="C145" s="199"/>
      <c r="D145" s="205"/>
      <c r="E145" s="205">
        <v>661</v>
      </c>
      <c r="F145" s="206"/>
      <c r="G145" s="176">
        <v>66010</v>
      </c>
      <c r="H145" s="174"/>
      <c r="I145" s="207"/>
      <c r="J145" s="46"/>
      <c r="K145" s="11">
        <v>0</v>
      </c>
      <c r="L145" s="11">
        <v>0</v>
      </c>
      <c r="M145" s="11">
        <v>75000</v>
      </c>
      <c r="N145" s="11">
        <v>0</v>
      </c>
      <c r="O145" s="11">
        <v>0</v>
      </c>
      <c r="P145" s="11">
        <v>0</v>
      </c>
      <c r="Q145" s="9">
        <f t="shared" si="23"/>
        <v>0</v>
      </c>
    </row>
    <row r="146" spans="1:17" ht="21.75" customHeight="1" hidden="1">
      <c r="A146" s="23">
        <v>2</v>
      </c>
      <c r="B146" s="7" t="s">
        <v>519</v>
      </c>
      <c r="C146" s="204">
        <v>851</v>
      </c>
      <c r="D146" s="200"/>
      <c r="E146" s="200"/>
      <c r="F146" s="201"/>
      <c r="G146" s="175">
        <f>G147</f>
        <v>0</v>
      </c>
      <c r="H146" s="168"/>
      <c r="I146" s="169"/>
      <c r="J146" s="202"/>
      <c r="K146" s="10">
        <f>K147</f>
        <v>200000</v>
      </c>
      <c r="L146" s="10">
        <f>L147</f>
        <v>0</v>
      </c>
      <c r="M146" s="10">
        <f>M147</f>
        <v>0</v>
      </c>
      <c r="N146" s="10">
        <f>N147</f>
        <v>0</v>
      </c>
      <c r="O146" s="10">
        <f>O147</f>
        <v>0</v>
      </c>
      <c r="P146" s="11"/>
      <c r="Q146" s="9">
        <f t="shared" si="23"/>
        <v>0</v>
      </c>
    </row>
    <row r="147" spans="1:17" ht="26.25" customHeight="1" hidden="1">
      <c r="A147" s="23" t="s">
        <v>478</v>
      </c>
      <c r="B147" s="33" t="s">
        <v>224</v>
      </c>
      <c r="C147" s="199"/>
      <c r="D147" s="200">
        <v>85111</v>
      </c>
      <c r="E147" s="200"/>
      <c r="F147" s="201"/>
      <c r="G147" s="175">
        <f>G159</f>
        <v>0</v>
      </c>
      <c r="H147" s="168"/>
      <c r="I147" s="169"/>
      <c r="J147" s="202"/>
      <c r="K147" s="10">
        <f>K159</f>
        <v>200000</v>
      </c>
      <c r="L147" s="10">
        <f>L159</f>
        <v>0</v>
      </c>
      <c r="M147" s="10">
        <f>M159</f>
        <v>0</v>
      </c>
      <c r="N147" s="10">
        <f>N159</f>
        <v>0</v>
      </c>
      <c r="O147" s="10">
        <f>O159</f>
        <v>0</v>
      </c>
      <c r="P147" s="11"/>
      <c r="Q147" s="9">
        <f t="shared" si="23"/>
        <v>0</v>
      </c>
    </row>
    <row r="148" spans="1:17" ht="63" customHeight="1">
      <c r="A148" s="23" t="s">
        <v>391</v>
      </c>
      <c r="B148" s="7" t="s">
        <v>794</v>
      </c>
      <c r="C148" s="204"/>
      <c r="D148" s="200"/>
      <c r="E148" s="200"/>
      <c r="F148" s="201"/>
      <c r="G148" s="175"/>
      <c r="H148" s="168"/>
      <c r="I148" s="169"/>
      <c r="J148" s="202"/>
      <c r="K148" s="10"/>
      <c r="L148" s="10"/>
      <c r="M148" s="10"/>
      <c r="N148" s="10"/>
      <c r="O148" s="10"/>
      <c r="P148" s="10">
        <f>P149</f>
        <v>44390</v>
      </c>
      <c r="Q148" s="9">
        <f t="shared" si="23"/>
        <v>0.001933258212525745</v>
      </c>
    </row>
    <row r="149" spans="1:17" ht="18.75" customHeight="1">
      <c r="A149" s="23" t="s">
        <v>478</v>
      </c>
      <c r="B149" s="7" t="s">
        <v>795</v>
      </c>
      <c r="C149" s="204">
        <v>630</v>
      </c>
      <c r="D149" s="200"/>
      <c r="E149" s="200"/>
      <c r="F149" s="201"/>
      <c r="G149" s="175"/>
      <c r="H149" s="168"/>
      <c r="I149" s="169"/>
      <c r="J149" s="202"/>
      <c r="K149" s="10"/>
      <c r="L149" s="10"/>
      <c r="M149" s="10"/>
      <c r="N149" s="10"/>
      <c r="O149" s="10"/>
      <c r="P149" s="10">
        <f>P150</f>
        <v>44390</v>
      </c>
      <c r="Q149" s="9">
        <f t="shared" si="23"/>
        <v>0.001933258212525745</v>
      </c>
    </row>
    <row r="150" spans="1:17" ht="18" customHeight="1">
      <c r="A150" s="23"/>
      <c r="B150" s="33" t="s">
        <v>796</v>
      </c>
      <c r="C150" s="204"/>
      <c r="D150" s="200">
        <v>63001</v>
      </c>
      <c r="E150" s="200"/>
      <c r="F150" s="201"/>
      <c r="G150" s="175"/>
      <c r="H150" s="168"/>
      <c r="I150" s="169"/>
      <c r="J150" s="202"/>
      <c r="K150" s="10"/>
      <c r="L150" s="10"/>
      <c r="M150" s="10"/>
      <c r="N150" s="10"/>
      <c r="O150" s="10"/>
      <c r="P150" s="10">
        <f>P151</f>
        <v>44390</v>
      </c>
      <c r="Q150" s="9">
        <f t="shared" si="23"/>
        <v>0.001933258212525745</v>
      </c>
    </row>
    <row r="151" spans="1:17" ht="40.5" customHeight="1">
      <c r="A151" s="23"/>
      <c r="B151" s="33" t="s">
        <v>797</v>
      </c>
      <c r="C151" s="199"/>
      <c r="D151" s="200"/>
      <c r="E151" s="200">
        <v>662</v>
      </c>
      <c r="F151" s="201"/>
      <c r="G151" s="175"/>
      <c r="H151" s="168"/>
      <c r="I151" s="169"/>
      <c r="J151" s="202"/>
      <c r="K151" s="10"/>
      <c r="L151" s="10"/>
      <c r="M151" s="10"/>
      <c r="N151" s="10"/>
      <c r="O151" s="10"/>
      <c r="P151" s="11">
        <v>44390</v>
      </c>
      <c r="Q151" s="9">
        <f t="shared" si="23"/>
        <v>0.001933258212525745</v>
      </c>
    </row>
    <row r="152" spans="1:17" ht="72.75" customHeight="1">
      <c r="A152" s="23" t="s">
        <v>410</v>
      </c>
      <c r="B152" s="7" t="s">
        <v>822</v>
      </c>
      <c r="C152" s="204"/>
      <c r="D152" s="200"/>
      <c r="E152" s="200"/>
      <c r="F152" s="201"/>
      <c r="G152" s="175"/>
      <c r="H152" s="168"/>
      <c r="I152" s="169"/>
      <c r="J152" s="202"/>
      <c r="K152" s="10"/>
      <c r="L152" s="10"/>
      <c r="M152" s="10"/>
      <c r="N152" s="10"/>
      <c r="O152" s="10"/>
      <c r="P152" s="10">
        <f>P153+P156</f>
        <v>110000</v>
      </c>
      <c r="Q152" s="9">
        <f t="shared" si="23"/>
        <v>0.004790682662262491</v>
      </c>
    </row>
    <row r="153" spans="1:17" ht="17.25" customHeight="1">
      <c r="A153" s="23" t="s">
        <v>478</v>
      </c>
      <c r="B153" s="7" t="s">
        <v>485</v>
      </c>
      <c r="C153" s="204">
        <v>600</v>
      </c>
      <c r="D153" s="200"/>
      <c r="E153" s="200"/>
      <c r="F153" s="201"/>
      <c r="G153" s="175"/>
      <c r="H153" s="168"/>
      <c r="I153" s="169"/>
      <c r="J153" s="202"/>
      <c r="K153" s="10"/>
      <c r="L153" s="10"/>
      <c r="M153" s="10"/>
      <c r="N153" s="10"/>
      <c r="O153" s="10"/>
      <c r="P153" s="10">
        <f>P154</f>
        <v>60000</v>
      </c>
      <c r="Q153" s="9">
        <f t="shared" si="23"/>
        <v>0.0026130996339613585</v>
      </c>
    </row>
    <row r="154" spans="1:17" ht="20.25" customHeight="1">
      <c r="A154" s="23"/>
      <c r="B154" s="33" t="s">
        <v>486</v>
      </c>
      <c r="C154" s="199"/>
      <c r="D154" s="200">
        <v>60014</v>
      </c>
      <c r="E154" s="200"/>
      <c r="F154" s="201"/>
      <c r="G154" s="175"/>
      <c r="H154" s="168"/>
      <c r="I154" s="169"/>
      <c r="J154" s="202"/>
      <c r="K154" s="10"/>
      <c r="L154" s="10"/>
      <c r="M154" s="10"/>
      <c r="N154" s="10"/>
      <c r="O154" s="10"/>
      <c r="P154" s="11">
        <f>P155</f>
        <v>60000</v>
      </c>
      <c r="Q154" s="9">
        <f t="shared" si="23"/>
        <v>0.0026130996339613585</v>
      </c>
    </row>
    <row r="155" spans="1:17" ht="42" customHeight="1">
      <c r="A155" s="23"/>
      <c r="B155" s="33" t="s">
        <v>823</v>
      </c>
      <c r="C155" s="199"/>
      <c r="D155" s="200"/>
      <c r="E155" s="200">
        <v>231</v>
      </c>
      <c r="F155" s="201"/>
      <c r="G155" s="175"/>
      <c r="H155" s="168"/>
      <c r="I155" s="169"/>
      <c r="J155" s="202"/>
      <c r="K155" s="10"/>
      <c r="L155" s="10"/>
      <c r="M155" s="10"/>
      <c r="N155" s="10"/>
      <c r="O155" s="10"/>
      <c r="P155" s="11">
        <v>60000</v>
      </c>
      <c r="Q155" s="9">
        <f t="shared" si="23"/>
        <v>0.0026130996339613585</v>
      </c>
    </row>
    <row r="156" spans="1:17" ht="24" customHeight="1">
      <c r="A156" s="23" t="s">
        <v>481</v>
      </c>
      <c r="B156" s="7" t="s">
        <v>485</v>
      </c>
      <c r="C156" s="204">
        <v>600</v>
      </c>
      <c r="D156" s="200"/>
      <c r="E156" s="200"/>
      <c r="F156" s="201"/>
      <c r="G156" s="175"/>
      <c r="H156" s="168"/>
      <c r="I156" s="169"/>
      <c r="J156" s="202"/>
      <c r="K156" s="10"/>
      <c r="L156" s="10"/>
      <c r="M156" s="10"/>
      <c r="N156" s="10"/>
      <c r="O156" s="10"/>
      <c r="P156" s="10">
        <f>P157</f>
        <v>50000</v>
      </c>
      <c r="Q156" s="9">
        <f t="shared" si="23"/>
        <v>0.002177583028301132</v>
      </c>
    </row>
    <row r="157" spans="1:17" ht="24.75" customHeight="1">
      <c r="A157" s="23"/>
      <c r="B157" s="33" t="s">
        <v>486</v>
      </c>
      <c r="C157" s="199"/>
      <c r="D157" s="200">
        <v>60014</v>
      </c>
      <c r="E157" s="200"/>
      <c r="F157" s="201"/>
      <c r="G157" s="175"/>
      <c r="H157" s="168"/>
      <c r="I157" s="169"/>
      <c r="J157" s="202"/>
      <c r="K157" s="10"/>
      <c r="L157" s="10"/>
      <c r="M157" s="10"/>
      <c r="N157" s="10"/>
      <c r="O157" s="10"/>
      <c r="P157" s="11">
        <f>P158</f>
        <v>50000</v>
      </c>
      <c r="Q157" s="9">
        <f t="shared" si="23"/>
        <v>0.002177583028301132</v>
      </c>
    </row>
    <row r="158" spans="1:17" ht="42" customHeight="1">
      <c r="A158" s="23"/>
      <c r="B158" s="33" t="s">
        <v>824</v>
      </c>
      <c r="C158" s="199"/>
      <c r="D158" s="200"/>
      <c r="E158" s="200">
        <v>661</v>
      </c>
      <c r="F158" s="201"/>
      <c r="G158" s="175"/>
      <c r="H158" s="168"/>
      <c r="I158" s="169"/>
      <c r="J158" s="202"/>
      <c r="K158" s="10"/>
      <c r="L158" s="10"/>
      <c r="M158" s="10"/>
      <c r="N158" s="10"/>
      <c r="O158" s="10"/>
      <c r="P158" s="11">
        <v>50000</v>
      </c>
      <c r="Q158" s="9">
        <f t="shared" si="23"/>
        <v>0.002177583028301132</v>
      </c>
    </row>
    <row r="159" spans="1:18" ht="72" customHeight="1">
      <c r="A159" s="23" t="s">
        <v>422</v>
      </c>
      <c r="B159" s="7" t="s">
        <v>25</v>
      </c>
      <c r="C159" s="204"/>
      <c r="D159" s="200"/>
      <c r="E159" s="200"/>
      <c r="F159" s="201"/>
      <c r="G159" s="175">
        <v>0</v>
      </c>
      <c r="H159" s="168"/>
      <c r="I159" s="169"/>
      <c r="J159" s="202"/>
      <c r="K159" s="10">
        <v>200000</v>
      </c>
      <c r="L159" s="10">
        <v>0</v>
      </c>
      <c r="M159" s="10">
        <v>0</v>
      </c>
      <c r="N159" s="10">
        <v>0</v>
      </c>
      <c r="O159" s="10">
        <v>0</v>
      </c>
      <c r="P159" s="10">
        <f>P160</f>
        <v>1457900</v>
      </c>
      <c r="Q159" s="13">
        <f t="shared" si="23"/>
        <v>0.06349396593920441</v>
      </c>
      <c r="R159" s="41"/>
    </row>
    <row r="160" spans="1:17" ht="16.5" customHeight="1">
      <c r="A160" s="23"/>
      <c r="B160" s="7" t="s">
        <v>485</v>
      </c>
      <c r="C160" s="204">
        <v>600</v>
      </c>
      <c r="D160" s="200"/>
      <c r="E160" s="200"/>
      <c r="F160" s="201"/>
      <c r="G160" s="175"/>
      <c r="H160" s="168"/>
      <c r="I160" s="169"/>
      <c r="J160" s="202"/>
      <c r="K160" s="10"/>
      <c r="L160" s="10"/>
      <c r="M160" s="10">
        <f aca="true" t="shared" si="35" ref="M160:P161">M161</f>
        <v>0</v>
      </c>
      <c r="N160" s="10">
        <f t="shared" si="35"/>
        <v>0</v>
      </c>
      <c r="O160" s="10">
        <f t="shared" si="35"/>
        <v>0</v>
      </c>
      <c r="P160" s="252">
        <f t="shared" si="35"/>
        <v>1457900</v>
      </c>
      <c r="Q160" s="9">
        <f t="shared" si="23"/>
        <v>0.06349396593920441</v>
      </c>
    </row>
    <row r="161" spans="1:17" ht="15.75" customHeight="1">
      <c r="A161" s="25"/>
      <c r="B161" s="33" t="s">
        <v>486</v>
      </c>
      <c r="C161" s="208"/>
      <c r="D161" s="200">
        <v>60014</v>
      </c>
      <c r="E161" s="200"/>
      <c r="F161" s="201"/>
      <c r="G161" s="175"/>
      <c r="H161" s="168"/>
      <c r="I161" s="169"/>
      <c r="J161" s="202"/>
      <c r="K161" s="10"/>
      <c r="L161" s="10"/>
      <c r="M161" s="10">
        <f t="shared" si="35"/>
        <v>0</v>
      </c>
      <c r="N161" s="10">
        <f t="shared" si="35"/>
        <v>0</v>
      </c>
      <c r="O161" s="10">
        <f t="shared" si="35"/>
        <v>0</v>
      </c>
      <c r="P161" s="252">
        <f t="shared" si="35"/>
        <v>1457900</v>
      </c>
      <c r="Q161" s="9">
        <f t="shared" si="23"/>
        <v>0.06349396593920441</v>
      </c>
    </row>
    <row r="162" spans="1:17" ht="47.25" customHeight="1">
      <c r="A162" s="25"/>
      <c r="B162" s="33" t="s">
        <v>669</v>
      </c>
      <c r="C162" s="208"/>
      <c r="D162" s="209"/>
      <c r="E162" s="209">
        <v>642</v>
      </c>
      <c r="F162" s="210"/>
      <c r="G162" s="185"/>
      <c r="H162" s="186"/>
      <c r="I162" s="211"/>
      <c r="J162" s="212"/>
      <c r="K162" s="24"/>
      <c r="L162" s="24"/>
      <c r="M162" s="24">
        <v>0</v>
      </c>
      <c r="N162" s="24">
        <v>0</v>
      </c>
      <c r="O162" s="24">
        <v>0</v>
      </c>
      <c r="P162" s="11">
        <v>1457900</v>
      </c>
      <c r="Q162" s="9">
        <f t="shared" si="23"/>
        <v>0.06349396593920441</v>
      </c>
    </row>
    <row r="163" spans="1:17" ht="29.25" customHeight="1">
      <c r="A163" s="23" t="s">
        <v>423</v>
      </c>
      <c r="B163" s="7" t="s">
        <v>540</v>
      </c>
      <c r="C163" s="199"/>
      <c r="D163" s="205"/>
      <c r="E163" s="205"/>
      <c r="F163" s="201">
        <f>F164+F173+F206+F217</f>
        <v>3346505</v>
      </c>
      <c r="G163" s="175" t="e">
        <f>G180+G189+G206+G247+#REF!+G183</f>
        <v>#REF!</v>
      </c>
      <c r="H163" s="174" t="e">
        <f aca="true" t="shared" si="36" ref="H163:H179">IF(F163&gt;0,G163/F163*100,"")</f>
        <v>#REF!</v>
      </c>
      <c r="I163" s="211" t="e">
        <f>F163/F306</f>
        <v>#REF!</v>
      </c>
      <c r="J163" s="46"/>
      <c r="K163" s="10" t="e">
        <f>K206+K180+K189+K247+#REF!+K183</f>
        <v>#REF!</v>
      </c>
      <c r="L163" s="10" t="e">
        <f>L206+L180+L189+L247+#REF!+L183</f>
        <v>#REF!</v>
      </c>
      <c r="M163" s="10" t="e">
        <f>M180+M183+M189+#REF!+M206+M247+M186</f>
        <v>#REF!</v>
      </c>
      <c r="N163" s="10" t="e">
        <f>N180+N183+N189+#REF!+N206+N247+N186</f>
        <v>#REF!</v>
      </c>
      <c r="O163" s="10" t="e">
        <f>O180+O183+O189+#REF!+O206+O247+O186</f>
        <v>#REF!</v>
      </c>
      <c r="P163" s="10">
        <f>P180+P183+P189+P206+P247+P186</f>
        <v>1862941</v>
      </c>
      <c r="Q163" s="9">
        <f t="shared" si="23"/>
        <v>0.08113417408652679</v>
      </c>
    </row>
    <row r="164" spans="1:17" ht="22.5" customHeight="1" hidden="1">
      <c r="A164" s="61" t="s">
        <v>393</v>
      </c>
      <c r="B164" s="213" t="s">
        <v>515</v>
      </c>
      <c r="C164" s="199">
        <v>801</v>
      </c>
      <c r="D164" s="205"/>
      <c r="E164" s="205"/>
      <c r="F164" s="201">
        <f>F165+F167+F169+F171</f>
        <v>198394</v>
      </c>
      <c r="G164" s="171">
        <f>G165+G167+G169+G171</f>
        <v>0</v>
      </c>
      <c r="H164" s="174">
        <f t="shared" si="36"/>
        <v>0</v>
      </c>
      <c r="I164" s="214" t="e">
        <f>F164/F306</f>
        <v>#REF!</v>
      </c>
      <c r="J164" s="46"/>
      <c r="K164" s="11"/>
      <c r="L164" s="11"/>
      <c r="M164" s="11"/>
      <c r="N164" s="11"/>
      <c r="O164" s="11"/>
      <c r="P164" s="11"/>
      <c r="Q164" s="9">
        <f t="shared" si="23"/>
        <v>0</v>
      </c>
    </row>
    <row r="165" spans="1:17" ht="22.5" customHeight="1" hidden="1">
      <c r="A165" s="215" t="s">
        <v>478</v>
      </c>
      <c r="B165" s="172" t="s">
        <v>182</v>
      </c>
      <c r="C165" s="199"/>
      <c r="D165" s="205">
        <v>80120</v>
      </c>
      <c r="E165" s="205"/>
      <c r="F165" s="210">
        <f>F166</f>
        <v>37842</v>
      </c>
      <c r="G165" s="173">
        <f>G166</f>
        <v>0</v>
      </c>
      <c r="H165" s="174">
        <f t="shared" si="36"/>
        <v>0</v>
      </c>
      <c r="I165" s="214" t="e">
        <f>F165/F306</f>
        <v>#REF!</v>
      </c>
      <c r="J165" s="46"/>
      <c r="K165" s="11"/>
      <c r="L165" s="11"/>
      <c r="M165" s="11"/>
      <c r="N165" s="11"/>
      <c r="O165" s="11"/>
      <c r="P165" s="11"/>
      <c r="Q165" s="9">
        <f t="shared" si="23"/>
        <v>0</v>
      </c>
    </row>
    <row r="166" spans="1:17" ht="25.5" customHeight="1" hidden="1">
      <c r="A166" s="61"/>
      <c r="B166" s="14" t="s">
        <v>541</v>
      </c>
      <c r="C166" s="199"/>
      <c r="D166" s="205"/>
      <c r="E166" s="205">
        <v>213</v>
      </c>
      <c r="F166" s="210">
        <v>37842</v>
      </c>
      <c r="G166" s="173">
        <v>0</v>
      </c>
      <c r="H166" s="174">
        <f t="shared" si="36"/>
        <v>0</v>
      </c>
      <c r="I166" s="214" t="e">
        <f>F166/F306</f>
        <v>#REF!</v>
      </c>
      <c r="J166" s="46"/>
      <c r="K166" s="11"/>
      <c r="L166" s="11"/>
      <c r="M166" s="11"/>
      <c r="N166" s="11"/>
      <c r="O166" s="11"/>
      <c r="P166" s="11"/>
      <c r="Q166" s="9">
        <f t="shared" si="23"/>
        <v>0</v>
      </c>
    </row>
    <row r="167" spans="1:17" ht="25.5" customHeight="1" hidden="1">
      <c r="A167" s="215" t="s">
        <v>481</v>
      </c>
      <c r="B167" s="63" t="s">
        <v>197</v>
      </c>
      <c r="C167" s="199"/>
      <c r="D167" s="205">
        <v>80131</v>
      </c>
      <c r="E167" s="205"/>
      <c r="F167" s="210">
        <f>F168</f>
        <v>73416</v>
      </c>
      <c r="G167" s="173">
        <f>G168</f>
        <v>0</v>
      </c>
      <c r="H167" s="174">
        <f t="shared" si="36"/>
        <v>0</v>
      </c>
      <c r="I167" s="214" t="e">
        <f>F167/F306</f>
        <v>#REF!</v>
      </c>
      <c r="J167" s="46"/>
      <c r="K167" s="11"/>
      <c r="L167" s="11"/>
      <c r="M167" s="11"/>
      <c r="N167" s="11"/>
      <c r="O167" s="11"/>
      <c r="P167" s="11"/>
      <c r="Q167" s="9">
        <f t="shared" si="23"/>
        <v>0</v>
      </c>
    </row>
    <row r="168" spans="1:17" ht="25.5" customHeight="1" hidden="1">
      <c r="A168" s="61"/>
      <c r="B168" s="14" t="s">
        <v>541</v>
      </c>
      <c r="C168" s="199"/>
      <c r="D168" s="205"/>
      <c r="E168" s="205">
        <v>213</v>
      </c>
      <c r="F168" s="210">
        <v>73416</v>
      </c>
      <c r="G168" s="173">
        <v>0</v>
      </c>
      <c r="H168" s="174">
        <f t="shared" si="36"/>
        <v>0</v>
      </c>
      <c r="I168" s="214" t="e">
        <f>F168/F306</f>
        <v>#REF!</v>
      </c>
      <c r="J168" s="46"/>
      <c r="K168" s="11"/>
      <c r="L168" s="11"/>
      <c r="M168" s="11"/>
      <c r="N168" s="11"/>
      <c r="O168" s="11"/>
      <c r="P168" s="11"/>
      <c r="Q168" s="9">
        <f t="shared" si="23"/>
        <v>0</v>
      </c>
    </row>
    <row r="169" spans="1:17" ht="25.5" customHeight="1" hidden="1">
      <c r="A169" s="215" t="s">
        <v>518</v>
      </c>
      <c r="B169" s="63" t="s">
        <v>210</v>
      </c>
      <c r="C169" s="199"/>
      <c r="D169" s="205">
        <v>80134</v>
      </c>
      <c r="E169" s="205"/>
      <c r="F169" s="210">
        <f>F170</f>
        <v>22764</v>
      </c>
      <c r="G169" s="173">
        <f>G170</f>
        <v>0</v>
      </c>
      <c r="H169" s="174">
        <f t="shared" si="36"/>
        <v>0</v>
      </c>
      <c r="I169" s="214" t="e">
        <f>F169/F306</f>
        <v>#REF!</v>
      </c>
      <c r="J169" s="46"/>
      <c r="K169" s="11"/>
      <c r="L169" s="11"/>
      <c r="M169" s="11"/>
      <c r="N169" s="11"/>
      <c r="O169" s="11"/>
      <c r="P169" s="11"/>
      <c r="Q169" s="9">
        <f t="shared" si="23"/>
        <v>0</v>
      </c>
    </row>
    <row r="170" spans="1:17" ht="25.5" customHeight="1" hidden="1">
      <c r="A170" s="61"/>
      <c r="B170" s="14" t="s">
        <v>541</v>
      </c>
      <c r="C170" s="199"/>
      <c r="D170" s="205"/>
      <c r="E170" s="205">
        <v>213</v>
      </c>
      <c r="F170" s="210">
        <v>22764</v>
      </c>
      <c r="G170" s="173">
        <v>0</v>
      </c>
      <c r="H170" s="174">
        <f t="shared" si="36"/>
        <v>0</v>
      </c>
      <c r="I170" s="214" t="e">
        <f>F170/F306</f>
        <v>#REF!</v>
      </c>
      <c r="J170" s="46"/>
      <c r="K170" s="11"/>
      <c r="L170" s="11"/>
      <c r="M170" s="11"/>
      <c r="N170" s="11"/>
      <c r="O170" s="11"/>
      <c r="P170" s="11"/>
      <c r="Q170" s="9">
        <f t="shared" si="23"/>
        <v>0</v>
      </c>
    </row>
    <row r="171" spans="1:17" ht="23.25" customHeight="1" hidden="1">
      <c r="A171" s="215" t="s">
        <v>521</v>
      </c>
      <c r="B171" s="172" t="s">
        <v>124</v>
      </c>
      <c r="C171" s="199"/>
      <c r="D171" s="205">
        <v>80195</v>
      </c>
      <c r="E171" s="205"/>
      <c r="F171" s="210">
        <f>F172</f>
        <v>64372</v>
      </c>
      <c r="G171" s="173">
        <f>G172</f>
        <v>0</v>
      </c>
      <c r="H171" s="174">
        <f t="shared" si="36"/>
        <v>0</v>
      </c>
      <c r="I171" s="214" t="e">
        <f>F171/F306</f>
        <v>#REF!</v>
      </c>
      <c r="J171" s="46"/>
      <c r="K171" s="11"/>
      <c r="L171" s="11"/>
      <c r="M171" s="11"/>
      <c r="N171" s="11"/>
      <c r="O171" s="11"/>
      <c r="P171" s="11"/>
      <c r="Q171" s="9">
        <f t="shared" si="23"/>
        <v>0</v>
      </c>
    </row>
    <row r="172" spans="1:17" ht="24.75" customHeight="1" hidden="1">
      <c r="A172" s="215"/>
      <c r="B172" s="14" t="s">
        <v>541</v>
      </c>
      <c r="C172" s="199"/>
      <c r="D172" s="205"/>
      <c r="E172" s="205">
        <v>213</v>
      </c>
      <c r="F172" s="210">
        <v>64372</v>
      </c>
      <c r="G172" s="173">
        <v>0</v>
      </c>
      <c r="H172" s="174">
        <f t="shared" si="36"/>
        <v>0</v>
      </c>
      <c r="I172" s="214" t="e">
        <f>F172/F306</f>
        <v>#REF!</v>
      </c>
      <c r="J172" s="46"/>
      <c r="K172" s="11"/>
      <c r="L172" s="11"/>
      <c r="M172" s="11"/>
      <c r="N172" s="11"/>
      <c r="O172" s="11"/>
      <c r="P172" s="11"/>
      <c r="Q172" s="9">
        <f t="shared" si="23"/>
        <v>0</v>
      </c>
    </row>
    <row r="173" spans="1:17" ht="24.75" customHeight="1" hidden="1">
      <c r="A173" s="61" t="s">
        <v>395</v>
      </c>
      <c r="B173" s="213" t="s">
        <v>519</v>
      </c>
      <c r="C173" s="199">
        <v>851</v>
      </c>
      <c r="D173" s="205"/>
      <c r="E173" s="205"/>
      <c r="F173" s="210">
        <f>F174+F176+F178</f>
        <v>108351</v>
      </c>
      <c r="G173" s="173">
        <f>G174+G176+G178</f>
        <v>0</v>
      </c>
      <c r="H173" s="174">
        <f t="shared" si="36"/>
        <v>0</v>
      </c>
      <c r="I173" s="214" t="e">
        <f>F173/F306</f>
        <v>#REF!</v>
      </c>
      <c r="J173" s="46"/>
      <c r="K173" s="11"/>
      <c r="L173" s="11"/>
      <c r="M173" s="11"/>
      <c r="N173" s="11"/>
      <c r="O173" s="11"/>
      <c r="P173" s="11"/>
      <c r="Q173" s="9">
        <f t="shared" si="23"/>
        <v>0</v>
      </c>
    </row>
    <row r="174" spans="1:17" ht="24.75" customHeight="1" hidden="1">
      <c r="A174" s="215" t="s">
        <v>478</v>
      </c>
      <c r="B174" s="63" t="s">
        <v>224</v>
      </c>
      <c r="C174" s="199"/>
      <c r="D174" s="205">
        <v>85111</v>
      </c>
      <c r="E174" s="205"/>
      <c r="F174" s="210">
        <f>F175</f>
        <v>74531</v>
      </c>
      <c r="G174" s="173">
        <f>G175</f>
        <v>0</v>
      </c>
      <c r="H174" s="174">
        <f t="shared" si="36"/>
        <v>0</v>
      </c>
      <c r="I174" s="214" t="e">
        <f>F174/F306</f>
        <v>#REF!</v>
      </c>
      <c r="J174" s="46"/>
      <c r="K174" s="11"/>
      <c r="L174" s="11"/>
      <c r="M174" s="11"/>
      <c r="N174" s="11"/>
      <c r="O174" s="11"/>
      <c r="P174" s="11"/>
      <c r="Q174" s="9">
        <f t="shared" si="23"/>
        <v>0</v>
      </c>
    </row>
    <row r="175" spans="1:17" ht="24.75" customHeight="1" hidden="1">
      <c r="A175" s="25"/>
      <c r="B175" s="14" t="s">
        <v>541</v>
      </c>
      <c r="C175" s="44"/>
      <c r="D175" s="37"/>
      <c r="E175" s="37">
        <v>213</v>
      </c>
      <c r="F175" s="216">
        <v>74531</v>
      </c>
      <c r="G175" s="185">
        <v>0</v>
      </c>
      <c r="H175" s="174">
        <f t="shared" si="36"/>
        <v>0</v>
      </c>
      <c r="I175" s="217" t="e">
        <f>F175/F306</f>
        <v>#REF!</v>
      </c>
      <c r="J175" s="46"/>
      <c r="K175" s="11"/>
      <c r="L175" s="11"/>
      <c r="M175" s="11"/>
      <c r="N175" s="11"/>
      <c r="O175" s="11"/>
      <c r="P175" s="11"/>
      <c r="Q175" s="9">
        <f t="shared" si="23"/>
        <v>0</v>
      </c>
    </row>
    <row r="176" spans="1:17" ht="24.75" customHeight="1" hidden="1">
      <c r="A176" s="215" t="s">
        <v>481</v>
      </c>
      <c r="B176" s="63" t="s">
        <v>233</v>
      </c>
      <c r="C176" s="199"/>
      <c r="D176" s="205">
        <v>85121</v>
      </c>
      <c r="E176" s="205"/>
      <c r="F176" s="210">
        <f>F177</f>
        <v>29325</v>
      </c>
      <c r="G176" s="173">
        <f>G177</f>
        <v>0</v>
      </c>
      <c r="H176" s="174">
        <f t="shared" si="36"/>
        <v>0</v>
      </c>
      <c r="I176" s="214" t="e">
        <f>F176/F306</f>
        <v>#REF!</v>
      </c>
      <c r="J176" s="46"/>
      <c r="K176" s="11"/>
      <c r="L176" s="11"/>
      <c r="M176" s="11"/>
      <c r="N176" s="11"/>
      <c r="O176" s="11"/>
      <c r="P176" s="11"/>
      <c r="Q176" s="9">
        <f t="shared" si="23"/>
        <v>0</v>
      </c>
    </row>
    <row r="177" spans="1:17" ht="24.75" customHeight="1" hidden="1">
      <c r="A177" s="215"/>
      <c r="B177" s="14" t="s">
        <v>541</v>
      </c>
      <c r="C177" s="199"/>
      <c r="D177" s="205"/>
      <c r="E177" s="205">
        <v>213</v>
      </c>
      <c r="F177" s="210">
        <v>29325</v>
      </c>
      <c r="G177" s="173">
        <v>0</v>
      </c>
      <c r="H177" s="174">
        <f t="shared" si="36"/>
        <v>0</v>
      </c>
      <c r="I177" s="214" t="e">
        <f>F177/F306</f>
        <v>#REF!</v>
      </c>
      <c r="J177" s="46"/>
      <c r="K177" s="11"/>
      <c r="L177" s="11"/>
      <c r="M177" s="11"/>
      <c r="N177" s="11"/>
      <c r="O177" s="11"/>
      <c r="P177" s="11"/>
      <c r="Q177" s="9">
        <f t="shared" si="23"/>
        <v>0</v>
      </c>
    </row>
    <row r="178" spans="1:17" ht="24.75" customHeight="1" hidden="1">
      <c r="A178" s="215" t="s">
        <v>518</v>
      </c>
      <c r="B178" s="63" t="s">
        <v>239</v>
      </c>
      <c r="C178" s="199"/>
      <c r="D178" s="205">
        <v>85141</v>
      </c>
      <c r="E178" s="205"/>
      <c r="F178" s="210">
        <f>F179</f>
        <v>4495</v>
      </c>
      <c r="G178" s="173">
        <f>G179</f>
        <v>0</v>
      </c>
      <c r="H178" s="174">
        <f t="shared" si="36"/>
        <v>0</v>
      </c>
      <c r="I178" s="214" t="e">
        <f>F178/F306</f>
        <v>#REF!</v>
      </c>
      <c r="J178" s="46"/>
      <c r="K178" s="11"/>
      <c r="L178" s="11"/>
      <c r="M178" s="11"/>
      <c r="N178" s="11"/>
      <c r="O178" s="11"/>
      <c r="P178" s="11"/>
      <c r="Q178" s="9">
        <f t="shared" si="23"/>
        <v>0</v>
      </c>
    </row>
    <row r="179" spans="1:17" ht="22.5" customHeight="1" hidden="1">
      <c r="A179" s="215"/>
      <c r="B179" s="14" t="s">
        <v>541</v>
      </c>
      <c r="C179" s="199"/>
      <c r="D179" s="205"/>
      <c r="E179" s="205">
        <v>213</v>
      </c>
      <c r="F179" s="210">
        <v>4495</v>
      </c>
      <c r="G179" s="173">
        <v>0</v>
      </c>
      <c r="H179" s="174">
        <f t="shared" si="36"/>
        <v>0</v>
      </c>
      <c r="I179" s="214" t="e">
        <f>F179/F306</f>
        <v>#REF!</v>
      </c>
      <c r="J179" s="46"/>
      <c r="K179" s="11"/>
      <c r="L179" s="11"/>
      <c r="M179" s="11"/>
      <c r="N179" s="11"/>
      <c r="O179" s="11"/>
      <c r="P179" s="11"/>
      <c r="Q179" s="9">
        <f t="shared" si="23"/>
        <v>0</v>
      </c>
    </row>
    <row r="180" spans="1:17" ht="21.75" customHeight="1">
      <c r="A180" s="61" t="s">
        <v>393</v>
      </c>
      <c r="B180" s="59" t="s">
        <v>542</v>
      </c>
      <c r="C180" s="271" t="s">
        <v>74</v>
      </c>
      <c r="D180" s="165"/>
      <c r="E180" s="165"/>
      <c r="F180" s="210"/>
      <c r="G180" s="171">
        <f>G181</f>
        <v>16600</v>
      </c>
      <c r="H180" s="168"/>
      <c r="I180" s="218"/>
      <c r="J180" s="202"/>
      <c r="K180" s="10">
        <f aca="true" t="shared" si="37" ref="K180:M181">K181</f>
        <v>0</v>
      </c>
      <c r="L180" s="10">
        <f t="shared" si="37"/>
        <v>0</v>
      </c>
      <c r="M180" s="10">
        <f t="shared" si="37"/>
        <v>5200</v>
      </c>
      <c r="N180" s="10">
        <f aca="true" t="shared" si="38" ref="N180:P181">N181</f>
        <v>0</v>
      </c>
      <c r="O180" s="10">
        <f t="shared" si="38"/>
        <v>0</v>
      </c>
      <c r="P180" s="252">
        <f t="shared" si="38"/>
        <v>5400</v>
      </c>
      <c r="Q180" s="9">
        <f t="shared" si="23"/>
        <v>0.00023517896705652227</v>
      </c>
    </row>
    <row r="181" spans="1:17" ht="21" customHeight="1">
      <c r="A181" s="93" t="s">
        <v>478</v>
      </c>
      <c r="B181" s="63" t="s">
        <v>77</v>
      </c>
      <c r="C181" s="164"/>
      <c r="D181" s="265" t="s">
        <v>76</v>
      </c>
      <c r="E181" s="265"/>
      <c r="F181" s="201"/>
      <c r="G181" s="171">
        <v>16600</v>
      </c>
      <c r="H181" s="168"/>
      <c r="I181" s="218"/>
      <c r="J181" s="153"/>
      <c r="K181" s="10">
        <f t="shared" si="37"/>
        <v>0</v>
      </c>
      <c r="L181" s="10">
        <f t="shared" si="37"/>
        <v>0</v>
      </c>
      <c r="M181" s="10">
        <f t="shared" si="37"/>
        <v>5200</v>
      </c>
      <c r="N181" s="10">
        <f t="shared" si="38"/>
        <v>0</v>
      </c>
      <c r="O181" s="10">
        <f t="shared" si="38"/>
        <v>0</v>
      </c>
      <c r="P181" s="252">
        <f t="shared" si="38"/>
        <v>5400</v>
      </c>
      <c r="Q181" s="9">
        <f t="shared" si="23"/>
        <v>0.00023517896705652227</v>
      </c>
    </row>
    <row r="182" spans="1:17" ht="22.5" customHeight="1">
      <c r="A182" s="25"/>
      <c r="B182" s="14" t="s">
        <v>541</v>
      </c>
      <c r="C182" s="44"/>
      <c r="D182" s="37"/>
      <c r="E182" s="37">
        <v>213</v>
      </c>
      <c r="F182" s="216"/>
      <c r="G182" s="185">
        <v>16600</v>
      </c>
      <c r="H182" s="174"/>
      <c r="I182" s="217"/>
      <c r="J182" s="145"/>
      <c r="K182" s="11">
        <v>0</v>
      </c>
      <c r="L182" s="11">
        <v>0</v>
      </c>
      <c r="M182" s="11">
        <v>5200</v>
      </c>
      <c r="N182" s="11">
        <v>0</v>
      </c>
      <c r="O182" s="11">
        <v>0</v>
      </c>
      <c r="P182" s="11">
        <v>5400</v>
      </c>
      <c r="Q182" s="9">
        <f t="shared" si="23"/>
        <v>0.00023517896705652227</v>
      </c>
    </row>
    <row r="183" spans="1:17" ht="22.5" customHeight="1" hidden="1">
      <c r="A183" s="61">
        <v>2</v>
      </c>
      <c r="B183" s="59" t="s">
        <v>485</v>
      </c>
      <c r="C183" s="204">
        <v>600</v>
      </c>
      <c r="D183" s="200"/>
      <c r="E183" s="200"/>
      <c r="F183" s="201"/>
      <c r="G183" s="171">
        <f>G184</f>
        <v>0</v>
      </c>
      <c r="H183" s="168"/>
      <c r="I183" s="218"/>
      <c r="J183" s="202"/>
      <c r="K183" s="10">
        <f aca="true" t="shared" si="39" ref="K183:M184">K184</f>
        <v>200000</v>
      </c>
      <c r="L183" s="10">
        <f t="shared" si="39"/>
        <v>0</v>
      </c>
      <c r="M183" s="11">
        <f t="shared" si="39"/>
        <v>0</v>
      </c>
      <c r="N183" s="11"/>
      <c r="O183" s="11"/>
      <c r="P183" s="11"/>
      <c r="Q183" s="9">
        <f t="shared" si="23"/>
        <v>0</v>
      </c>
    </row>
    <row r="184" spans="1:17" ht="22.5" customHeight="1" hidden="1">
      <c r="A184" s="215" t="s">
        <v>478</v>
      </c>
      <c r="B184" s="63" t="s">
        <v>486</v>
      </c>
      <c r="C184" s="199"/>
      <c r="D184" s="205">
        <v>60014</v>
      </c>
      <c r="E184" s="205"/>
      <c r="F184" s="210"/>
      <c r="G184" s="173">
        <f>G185</f>
        <v>0</v>
      </c>
      <c r="H184" s="174"/>
      <c r="I184" s="214"/>
      <c r="J184" s="46"/>
      <c r="K184" s="11">
        <f t="shared" si="39"/>
        <v>200000</v>
      </c>
      <c r="L184" s="11">
        <f t="shared" si="39"/>
        <v>0</v>
      </c>
      <c r="M184" s="11">
        <f t="shared" si="39"/>
        <v>0</v>
      </c>
      <c r="N184" s="11"/>
      <c r="O184" s="11"/>
      <c r="P184" s="11"/>
      <c r="Q184" s="9">
        <f t="shared" si="23"/>
        <v>0</v>
      </c>
    </row>
    <row r="185" spans="1:17" ht="22.5" customHeight="1" hidden="1">
      <c r="A185" s="215"/>
      <c r="B185" s="63" t="s">
        <v>543</v>
      </c>
      <c r="C185" s="199"/>
      <c r="D185" s="205"/>
      <c r="E185" s="205">
        <v>643</v>
      </c>
      <c r="F185" s="210"/>
      <c r="G185" s="173">
        <v>0</v>
      </c>
      <c r="H185" s="174"/>
      <c r="I185" s="214"/>
      <c r="J185" s="46"/>
      <c r="K185" s="11">
        <v>200000</v>
      </c>
      <c r="L185" s="11">
        <v>0</v>
      </c>
      <c r="M185" s="11"/>
      <c r="N185" s="11"/>
      <c r="O185" s="11"/>
      <c r="P185" s="11"/>
      <c r="Q185" s="9">
        <f t="shared" si="23"/>
        <v>0</v>
      </c>
    </row>
    <row r="186" spans="1:17" ht="22.5" customHeight="1" hidden="1">
      <c r="A186" s="61" t="s">
        <v>395</v>
      </c>
      <c r="B186" s="7" t="s">
        <v>485</v>
      </c>
      <c r="C186" s="204">
        <v>600</v>
      </c>
      <c r="D186" s="200"/>
      <c r="E186" s="200"/>
      <c r="F186" s="201"/>
      <c r="G186" s="171"/>
      <c r="H186" s="168"/>
      <c r="I186" s="218"/>
      <c r="J186" s="202"/>
      <c r="K186" s="10"/>
      <c r="L186" s="10"/>
      <c r="M186" s="10">
        <f aca="true" t="shared" si="40" ref="M186:P187">M187</f>
        <v>774988</v>
      </c>
      <c r="N186" s="10">
        <f t="shared" si="40"/>
        <v>0</v>
      </c>
      <c r="O186" s="10">
        <f t="shared" si="40"/>
        <v>0</v>
      </c>
      <c r="P186" s="10">
        <f t="shared" si="40"/>
        <v>0</v>
      </c>
      <c r="Q186" s="9">
        <f t="shared" si="23"/>
        <v>0</v>
      </c>
    </row>
    <row r="187" spans="1:17" ht="22.5" customHeight="1" hidden="1">
      <c r="A187" s="215"/>
      <c r="B187" s="33" t="s">
        <v>486</v>
      </c>
      <c r="C187" s="199"/>
      <c r="D187" s="200">
        <v>60014</v>
      </c>
      <c r="E187" s="205"/>
      <c r="F187" s="210"/>
      <c r="G187" s="173"/>
      <c r="H187" s="174"/>
      <c r="I187" s="214"/>
      <c r="J187" s="46"/>
      <c r="K187" s="11"/>
      <c r="L187" s="11"/>
      <c r="M187" s="11">
        <f t="shared" si="40"/>
        <v>774988</v>
      </c>
      <c r="N187" s="10">
        <f t="shared" si="40"/>
        <v>0</v>
      </c>
      <c r="O187" s="10">
        <f t="shared" si="40"/>
        <v>0</v>
      </c>
      <c r="P187" s="10">
        <f t="shared" si="40"/>
        <v>0</v>
      </c>
      <c r="Q187" s="9">
        <f t="shared" si="23"/>
        <v>0</v>
      </c>
    </row>
    <row r="188" spans="1:17" ht="22.5" customHeight="1" hidden="1">
      <c r="A188" s="215"/>
      <c r="B188" s="172" t="s">
        <v>593</v>
      </c>
      <c r="C188" s="199"/>
      <c r="D188" s="205"/>
      <c r="E188" s="205">
        <v>643</v>
      </c>
      <c r="F188" s="210"/>
      <c r="G188" s="173"/>
      <c r="H188" s="174"/>
      <c r="I188" s="214"/>
      <c r="J188" s="46"/>
      <c r="K188" s="11"/>
      <c r="L188" s="11"/>
      <c r="M188" s="11">
        <v>774988</v>
      </c>
      <c r="N188" s="11">
        <v>0</v>
      </c>
      <c r="O188" s="11">
        <v>0</v>
      </c>
      <c r="P188" s="11">
        <v>0</v>
      </c>
      <c r="Q188" s="9">
        <f t="shared" si="23"/>
        <v>0</v>
      </c>
    </row>
    <row r="189" spans="1:17" ht="22.5" customHeight="1">
      <c r="A189" s="61" t="s">
        <v>395</v>
      </c>
      <c r="B189" s="59" t="s">
        <v>515</v>
      </c>
      <c r="C189" s="204">
        <v>801</v>
      </c>
      <c r="D189" s="200"/>
      <c r="E189" s="200"/>
      <c r="F189" s="201"/>
      <c r="G189" s="171" t="e">
        <f>G202+G204+#REF!</f>
        <v>#REF!</v>
      </c>
      <c r="H189" s="168"/>
      <c r="I189" s="218"/>
      <c r="J189" s="202"/>
      <c r="K189" s="10" t="e">
        <f>K202+K204+#REF!</f>
        <v>#REF!</v>
      </c>
      <c r="L189" s="10" t="e">
        <f>L202+L204+#REF!</f>
        <v>#REF!</v>
      </c>
      <c r="M189" s="10">
        <f>M190+M192+M194+M198+M200+M204+M196</f>
        <v>121876</v>
      </c>
      <c r="N189" s="10">
        <f>N190+N192+N194+N198+N200+N204+N196</f>
        <v>0</v>
      </c>
      <c r="O189" s="10">
        <f>O190+O192+O194+O198+O200+O204+O196</f>
        <v>0</v>
      </c>
      <c r="P189" s="10">
        <f>P190+P192+P194+P198+P200+P204+P196</f>
        <v>22572</v>
      </c>
      <c r="Q189" s="9">
        <f t="shared" si="23"/>
        <v>0.000983048082296263</v>
      </c>
    </row>
    <row r="190" spans="1:17" ht="22.5" customHeight="1" hidden="1">
      <c r="A190" s="61" t="s">
        <v>478</v>
      </c>
      <c r="B190" s="59" t="s">
        <v>171</v>
      </c>
      <c r="C190" s="204"/>
      <c r="D190" s="200">
        <v>80102</v>
      </c>
      <c r="E190" s="200"/>
      <c r="F190" s="201"/>
      <c r="G190" s="171"/>
      <c r="H190" s="168"/>
      <c r="I190" s="218"/>
      <c r="J190" s="202"/>
      <c r="K190" s="10"/>
      <c r="L190" s="10"/>
      <c r="M190" s="10">
        <f>M191</f>
        <v>6017</v>
      </c>
      <c r="N190" s="10">
        <f>N191</f>
        <v>0</v>
      </c>
      <c r="O190" s="10">
        <f>O191</f>
        <v>0</v>
      </c>
      <c r="P190" s="10">
        <f>P191</f>
        <v>0</v>
      </c>
      <c r="Q190" s="9">
        <f t="shared" si="23"/>
        <v>0</v>
      </c>
    </row>
    <row r="191" spans="1:17" ht="22.5" customHeight="1" hidden="1">
      <c r="A191" s="61"/>
      <c r="B191" s="14" t="s">
        <v>541</v>
      </c>
      <c r="C191" s="204"/>
      <c r="D191" s="200"/>
      <c r="E191" s="209">
        <v>213</v>
      </c>
      <c r="F191" s="210"/>
      <c r="G191" s="173"/>
      <c r="H191" s="186"/>
      <c r="I191" s="214"/>
      <c r="J191" s="212"/>
      <c r="K191" s="24"/>
      <c r="L191" s="24"/>
      <c r="M191" s="24">
        <v>6017</v>
      </c>
      <c r="N191" s="24">
        <v>0</v>
      </c>
      <c r="O191" s="24">
        <v>0</v>
      </c>
      <c r="P191" s="11">
        <v>0</v>
      </c>
      <c r="Q191" s="9">
        <f t="shared" si="23"/>
        <v>0</v>
      </c>
    </row>
    <row r="192" spans="1:17" ht="22.5" customHeight="1" hidden="1">
      <c r="A192" s="61" t="s">
        <v>481</v>
      </c>
      <c r="B192" s="59" t="s">
        <v>179</v>
      </c>
      <c r="C192" s="204"/>
      <c r="D192" s="200">
        <v>80111</v>
      </c>
      <c r="E192" s="200"/>
      <c r="F192" s="201"/>
      <c r="G192" s="171"/>
      <c r="H192" s="168"/>
      <c r="I192" s="218"/>
      <c r="J192" s="202"/>
      <c r="K192" s="10"/>
      <c r="L192" s="10"/>
      <c r="M192" s="10">
        <f>M193</f>
        <v>6020</v>
      </c>
      <c r="N192" s="10">
        <f>N193</f>
        <v>0</v>
      </c>
      <c r="O192" s="10">
        <f>O193</f>
        <v>0</v>
      </c>
      <c r="P192" s="10">
        <f>P193</f>
        <v>0</v>
      </c>
      <c r="Q192" s="9">
        <f t="shared" si="23"/>
        <v>0</v>
      </c>
    </row>
    <row r="193" spans="1:17" ht="22.5" customHeight="1" hidden="1">
      <c r="A193" s="61"/>
      <c r="B193" s="14" t="s">
        <v>541</v>
      </c>
      <c r="C193" s="204"/>
      <c r="D193" s="200"/>
      <c r="E193" s="209">
        <v>213</v>
      </c>
      <c r="F193" s="210"/>
      <c r="G193" s="173"/>
      <c r="H193" s="186"/>
      <c r="I193" s="214"/>
      <c r="J193" s="212"/>
      <c r="K193" s="24"/>
      <c r="L193" s="24"/>
      <c r="M193" s="24">
        <v>6020</v>
      </c>
      <c r="N193" s="24">
        <v>0</v>
      </c>
      <c r="O193" s="24">
        <v>0</v>
      </c>
      <c r="P193" s="11">
        <v>0</v>
      </c>
      <c r="Q193" s="9">
        <f aca="true" t="shared" si="41" ref="Q193:Q256">P193/$P$306</f>
        <v>0</v>
      </c>
    </row>
    <row r="194" spans="1:17" ht="22.5" customHeight="1" hidden="1">
      <c r="A194" s="61" t="s">
        <v>518</v>
      </c>
      <c r="B194" s="59" t="s">
        <v>653</v>
      </c>
      <c r="C194" s="204"/>
      <c r="D194" s="200">
        <v>80120</v>
      </c>
      <c r="E194" s="200"/>
      <c r="F194" s="201"/>
      <c r="G194" s="171"/>
      <c r="H194" s="168"/>
      <c r="I194" s="218"/>
      <c r="J194" s="202"/>
      <c r="K194" s="10"/>
      <c r="L194" s="10"/>
      <c r="M194" s="10">
        <f>M195</f>
        <v>16315</v>
      </c>
      <c r="N194" s="10">
        <f>N195</f>
        <v>0</v>
      </c>
      <c r="O194" s="10">
        <f>O195</f>
        <v>0</v>
      </c>
      <c r="P194" s="10">
        <f>P195</f>
        <v>0</v>
      </c>
      <c r="Q194" s="9">
        <f t="shared" si="41"/>
        <v>0</v>
      </c>
    </row>
    <row r="195" spans="1:17" ht="22.5" customHeight="1" hidden="1">
      <c r="A195" s="61"/>
      <c r="B195" s="14" t="s">
        <v>541</v>
      </c>
      <c r="C195" s="204"/>
      <c r="D195" s="200"/>
      <c r="E195" s="209">
        <v>213</v>
      </c>
      <c r="F195" s="210"/>
      <c r="G195" s="173"/>
      <c r="H195" s="186"/>
      <c r="I195" s="214"/>
      <c r="J195" s="212"/>
      <c r="K195" s="24"/>
      <c r="L195" s="24"/>
      <c r="M195" s="24">
        <v>16315</v>
      </c>
      <c r="N195" s="24">
        <v>0</v>
      </c>
      <c r="O195" s="24">
        <v>0</v>
      </c>
      <c r="P195" s="11">
        <v>0</v>
      </c>
      <c r="Q195" s="9">
        <f t="shared" si="41"/>
        <v>0</v>
      </c>
    </row>
    <row r="196" spans="1:17" ht="22.5" customHeight="1" hidden="1">
      <c r="A196" s="61" t="s">
        <v>521</v>
      </c>
      <c r="B196" s="59" t="s">
        <v>192</v>
      </c>
      <c r="C196" s="204"/>
      <c r="D196" s="200">
        <v>80130</v>
      </c>
      <c r="E196" s="200"/>
      <c r="F196" s="201"/>
      <c r="G196" s="171"/>
      <c r="H196" s="168"/>
      <c r="I196" s="218"/>
      <c r="J196" s="202"/>
      <c r="K196" s="10"/>
      <c r="L196" s="10"/>
      <c r="M196" s="10">
        <f>M197</f>
        <v>58785</v>
      </c>
      <c r="N196" s="10">
        <f>N197</f>
        <v>0</v>
      </c>
      <c r="O196" s="10">
        <f>O197</f>
        <v>0</v>
      </c>
      <c r="P196" s="10">
        <f>P197</f>
        <v>0</v>
      </c>
      <c r="Q196" s="9">
        <f t="shared" si="41"/>
        <v>0</v>
      </c>
    </row>
    <row r="197" spans="1:17" ht="22.5" customHeight="1" hidden="1">
      <c r="A197" s="61"/>
      <c r="B197" s="14" t="s">
        <v>541</v>
      </c>
      <c r="C197" s="204"/>
      <c r="D197" s="200"/>
      <c r="E197" s="209">
        <v>213</v>
      </c>
      <c r="F197" s="210"/>
      <c r="G197" s="173"/>
      <c r="H197" s="186"/>
      <c r="I197" s="214"/>
      <c r="J197" s="212"/>
      <c r="K197" s="24"/>
      <c r="L197" s="24"/>
      <c r="M197" s="24">
        <v>58785</v>
      </c>
      <c r="N197" s="24">
        <v>0</v>
      </c>
      <c r="O197" s="24">
        <v>0</v>
      </c>
      <c r="P197" s="11">
        <v>0</v>
      </c>
      <c r="Q197" s="9">
        <f t="shared" si="41"/>
        <v>0</v>
      </c>
    </row>
    <row r="198" spans="1:17" ht="22.5" customHeight="1" hidden="1">
      <c r="A198" s="61" t="s">
        <v>521</v>
      </c>
      <c r="B198" s="59" t="s">
        <v>654</v>
      </c>
      <c r="C198" s="204"/>
      <c r="D198" s="200">
        <v>80133</v>
      </c>
      <c r="E198" s="200"/>
      <c r="F198" s="201"/>
      <c r="G198" s="171"/>
      <c r="H198" s="168"/>
      <c r="I198" s="218"/>
      <c r="J198" s="202"/>
      <c r="K198" s="10"/>
      <c r="L198" s="10"/>
      <c r="M198" s="10">
        <f>M199</f>
        <v>1970</v>
      </c>
      <c r="N198" s="10">
        <f>N199</f>
        <v>0</v>
      </c>
      <c r="O198" s="10">
        <f>O199</f>
        <v>0</v>
      </c>
      <c r="P198" s="10">
        <f>P199</f>
        <v>0</v>
      </c>
      <c r="Q198" s="9">
        <f t="shared" si="41"/>
        <v>0</v>
      </c>
    </row>
    <row r="199" spans="1:17" ht="22.5" customHeight="1" hidden="1">
      <c r="A199" s="61"/>
      <c r="B199" s="14" t="s">
        <v>541</v>
      </c>
      <c r="C199" s="204"/>
      <c r="D199" s="200"/>
      <c r="E199" s="209">
        <v>213</v>
      </c>
      <c r="F199" s="210"/>
      <c r="G199" s="173"/>
      <c r="H199" s="186"/>
      <c r="I199" s="214"/>
      <c r="J199" s="212"/>
      <c r="K199" s="24"/>
      <c r="L199" s="24"/>
      <c r="M199" s="24">
        <v>1970</v>
      </c>
      <c r="N199" s="24">
        <v>0</v>
      </c>
      <c r="O199" s="24">
        <v>0</v>
      </c>
      <c r="P199" s="11">
        <v>0</v>
      </c>
      <c r="Q199" s="9">
        <f t="shared" si="41"/>
        <v>0</v>
      </c>
    </row>
    <row r="200" spans="1:17" ht="22.5" customHeight="1" hidden="1">
      <c r="A200" s="61" t="s">
        <v>523</v>
      </c>
      <c r="B200" s="59" t="s">
        <v>210</v>
      </c>
      <c r="C200" s="204"/>
      <c r="D200" s="200">
        <v>80134</v>
      </c>
      <c r="E200" s="200"/>
      <c r="F200" s="201"/>
      <c r="G200" s="171"/>
      <c r="H200" s="168"/>
      <c r="I200" s="218"/>
      <c r="J200" s="202"/>
      <c r="K200" s="10"/>
      <c r="L200" s="10"/>
      <c r="M200" s="10">
        <f>M201</f>
        <v>3005</v>
      </c>
      <c r="N200" s="10">
        <f>N201</f>
        <v>0</v>
      </c>
      <c r="O200" s="10">
        <f>O201</f>
        <v>0</v>
      </c>
      <c r="P200" s="10">
        <f>P201</f>
        <v>0</v>
      </c>
      <c r="Q200" s="9">
        <f t="shared" si="41"/>
        <v>0</v>
      </c>
    </row>
    <row r="201" spans="1:17" ht="22.5" customHeight="1" hidden="1">
      <c r="A201" s="61"/>
      <c r="B201" s="14" t="s">
        <v>541</v>
      </c>
      <c r="C201" s="204"/>
      <c r="D201" s="200"/>
      <c r="E201" s="209">
        <v>213</v>
      </c>
      <c r="F201" s="210"/>
      <c r="G201" s="173"/>
      <c r="H201" s="186"/>
      <c r="I201" s="214"/>
      <c r="J201" s="212"/>
      <c r="K201" s="24"/>
      <c r="L201" s="24"/>
      <c r="M201" s="24">
        <v>3005</v>
      </c>
      <c r="N201" s="24">
        <v>0</v>
      </c>
      <c r="O201" s="24">
        <v>0</v>
      </c>
      <c r="P201" s="11">
        <v>0</v>
      </c>
      <c r="Q201" s="9">
        <f t="shared" si="41"/>
        <v>0</v>
      </c>
    </row>
    <row r="202" spans="1:17" ht="22.5" customHeight="1" hidden="1">
      <c r="A202" s="215" t="s">
        <v>481</v>
      </c>
      <c r="B202" s="63" t="s">
        <v>197</v>
      </c>
      <c r="C202" s="199"/>
      <c r="D202" s="205">
        <v>80131</v>
      </c>
      <c r="E202" s="205"/>
      <c r="F202" s="210"/>
      <c r="G202" s="173">
        <f>G203</f>
        <v>494000</v>
      </c>
      <c r="H202" s="174"/>
      <c r="I202" s="214"/>
      <c r="J202" s="46"/>
      <c r="K202" s="11">
        <f>K203</f>
        <v>0</v>
      </c>
      <c r="L202" s="11">
        <f>L203</f>
        <v>494000</v>
      </c>
      <c r="M202" s="11">
        <f>M203</f>
        <v>0</v>
      </c>
      <c r="N202" s="11"/>
      <c r="O202" s="11"/>
      <c r="P202" s="11"/>
      <c r="Q202" s="9">
        <f t="shared" si="41"/>
        <v>0</v>
      </c>
    </row>
    <row r="203" spans="1:17" ht="22.5" customHeight="1" hidden="1">
      <c r="A203" s="215"/>
      <c r="B203" s="63" t="s">
        <v>543</v>
      </c>
      <c r="C203" s="199"/>
      <c r="D203" s="205"/>
      <c r="E203" s="205">
        <v>643</v>
      </c>
      <c r="F203" s="210"/>
      <c r="G203" s="173">
        <v>494000</v>
      </c>
      <c r="H203" s="174"/>
      <c r="I203" s="214"/>
      <c r="J203" s="46"/>
      <c r="K203" s="11">
        <v>0</v>
      </c>
      <c r="L203" s="11">
        <v>494000</v>
      </c>
      <c r="M203" s="11">
        <v>0</v>
      </c>
      <c r="N203" s="11"/>
      <c r="O203" s="11"/>
      <c r="P203" s="11"/>
      <c r="Q203" s="9">
        <f t="shared" si="41"/>
        <v>0</v>
      </c>
    </row>
    <row r="204" spans="1:17" ht="22.5" customHeight="1">
      <c r="A204" s="61" t="s">
        <v>478</v>
      </c>
      <c r="B204" s="59" t="s">
        <v>124</v>
      </c>
      <c r="C204" s="204"/>
      <c r="D204" s="200">
        <v>80195</v>
      </c>
      <c r="E204" s="200"/>
      <c r="F204" s="201"/>
      <c r="G204" s="171">
        <f>G205</f>
        <v>32249</v>
      </c>
      <c r="H204" s="168"/>
      <c r="I204" s="218"/>
      <c r="J204" s="202"/>
      <c r="K204" s="10">
        <f aca="true" t="shared" si="42" ref="K204:P204">K205</f>
        <v>8206</v>
      </c>
      <c r="L204" s="10">
        <f t="shared" si="42"/>
        <v>0</v>
      </c>
      <c r="M204" s="10">
        <f t="shared" si="42"/>
        <v>29764</v>
      </c>
      <c r="N204" s="10">
        <f t="shared" si="42"/>
        <v>0</v>
      </c>
      <c r="O204" s="10">
        <f t="shared" si="42"/>
        <v>0</v>
      </c>
      <c r="P204" s="252">
        <f t="shared" si="42"/>
        <v>22572</v>
      </c>
      <c r="Q204" s="9">
        <f t="shared" si="41"/>
        <v>0.000983048082296263</v>
      </c>
    </row>
    <row r="205" spans="1:17" ht="27" customHeight="1">
      <c r="A205" s="215"/>
      <c r="B205" s="14" t="s">
        <v>541</v>
      </c>
      <c r="C205" s="199"/>
      <c r="D205" s="205"/>
      <c r="E205" s="205">
        <v>213</v>
      </c>
      <c r="F205" s="210"/>
      <c r="G205" s="173">
        <v>32249</v>
      </c>
      <c r="H205" s="174"/>
      <c r="I205" s="214"/>
      <c r="J205" s="46"/>
      <c r="K205" s="11">
        <v>8206</v>
      </c>
      <c r="L205" s="11">
        <v>0</v>
      </c>
      <c r="M205" s="11">
        <v>29764</v>
      </c>
      <c r="N205" s="11">
        <v>0</v>
      </c>
      <c r="O205" s="11">
        <v>0</v>
      </c>
      <c r="P205" s="11">
        <v>22572</v>
      </c>
      <c r="Q205" s="9">
        <f t="shared" si="41"/>
        <v>0.000983048082296263</v>
      </c>
    </row>
    <row r="206" spans="1:17" ht="28.5" customHeight="1">
      <c r="A206" s="61" t="s">
        <v>397</v>
      </c>
      <c r="B206" s="170" t="s">
        <v>520</v>
      </c>
      <c r="C206" s="37">
        <v>853</v>
      </c>
      <c r="D206" s="37"/>
      <c r="E206" s="37"/>
      <c r="F206" s="8">
        <f>F207+F209+F211+F215</f>
        <v>3007060</v>
      </c>
      <c r="G206" s="171">
        <f>G207+G209+G211+G213+G215+G245</f>
        <v>3924395</v>
      </c>
      <c r="H206" s="168">
        <f aca="true" t="shared" si="43" ref="H206:H212">IF(F206&gt;0,G206/F206*100,"")</f>
        <v>130.50604244677527</v>
      </c>
      <c r="I206" s="13" t="e">
        <f>F206/F306</f>
        <v>#REF!</v>
      </c>
      <c r="J206" s="202"/>
      <c r="K206" s="10">
        <f aca="true" t="shared" si="44" ref="K206:P206">K207+K209+K211+K213+K215+K245</f>
        <v>28636</v>
      </c>
      <c r="L206" s="10">
        <f t="shared" si="44"/>
        <v>0</v>
      </c>
      <c r="M206" s="10">
        <f t="shared" si="44"/>
        <v>2141464</v>
      </c>
      <c r="N206" s="10">
        <f t="shared" si="44"/>
        <v>49192</v>
      </c>
      <c r="O206" s="10">
        <f t="shared" si="44"/>
        <v>44006</v>
      </c>
      <c r="P206" s="252">
        <f t="shared" si="44"/>
        <v>1826082</v>
      </c>
      <c r="Q206" s="9">
        <f t="shared" si="41"/>
        <v>0.07952890342972375</v>
      </c>
    </row>
    <row r="207" spans="1:17" ht="27" customHeight="1">
      <c r="A207" s="28" t="s">
        <v>478</v>
      </c>
      <c r="B207" s="14" t="s">
        <v>365</v>
      </c>
      <c r="C207" s="37"/>
      <c r="D207" s="87">
        <v>85301</v>
      </c>
      <c r="E207" s="87"/>
      <c r="F207" s="12">
        <f>F208</f>
        <v>2200940</v>
      </c>
      <c r="G207" s="175">
        <f>G208</f>
        <v>2051400</v>
      </c>
      <c r="H207" s="168">
        <f t="shared" si="43"/>
        <v>93.20563032158987</v>
      </c>
      <c r="I207" s="13" t="e">
        <f>F207/F306</f>
        <v>#REF!</v>
      </c>
      <c r="J207" s="202"/>
      <c r="K207" s="10">
        <f aca="true" t="shared" si="45" ref="K207:P207">K208</f>
        <v>0</v>
      </c>
      <c r="L207" s="10">
        <f t="shared" si="45"/>
        <v>0</v>
      </c>
      <c r="M207" s="10">
        <f t="shared" si="45"/>
        <v>840287</v>
      </c>
      <c r="N207" s="10">
        <f t="shared" si="45"/>
        <v>5186</v>
      </c>
      <c r="O207" s="10">
        <f t="shared" si="45"/>
        <v>44006</v>
      </c>
      <c r="P207" s="252">
        <f t="shared" si="45"/>
        <v>691191</v>
      </c>
      <c r="Q207" s="9">
        <f t="shared" si="41"/>
        <v>0.030102515818289755</v>
      </c>
    </row>
    <row r="208" spans="1:17" ht="31.5" customHeight="1">
      <c r="A208" s="28"/>
      <c r="B208" s="14" t="s">
        <v>541</v>
      </c>
      <c r="C208" s="37"/>
      <c r="D208" s="37"/>
      <c r="E208" s="37">
        <v>213</v>
      </c>
      <c r="F208" s="8">
        <v>2200940</v>
      </c>
      <c r="G208" s="176">
        <v>2051400</v>
      </c>
      <c r="H208" s="174">
        <f t="shared" si="43"/>
        <v>93.20563032158987</v>
      </c>
      <c r="I208" s="9" t="e">
        <f>F208/F306</f>
        <v>#REF!</v>
      </c>
      <c r="J208" s="46"/>
      <c r="K208" s="11">
        <v>0</v>
      </c>
      <c r="L208" s="11">
        <v>0</v>
      </c>
      <c r="M208" s="11">
        <v>840287</v>
      </c>
      <c r="N208" s="11">
        <v>5186</v>
      </c>
      <c r="O208" s="11">
        <v>44006</v>
      </c>
      <c r="P208" s="11">
        <v>691191</v>
      </c>
      <c r="Q208" s="9">
        <f t="shared" si="41"/>
        <v>0.030102515818289755</v>
      </c>
    </row>
    <row r="209" spans="1:17" ht="24" customHeight="1">
      <c r="A209" s="28" t="s">
        <v>481</v>
      </c>
      <c r="B209" s="14" t="s">
        <v>257</v>
      </c>
      <c r="C209" s="37"/>
      <c r="D209" s="87">
        <v>85302</v>
      </c>
      <c r="E209" s="87"/>
      <c r="F209" s="12">
        <f>F210</f>
        <v>567120</v>
      </c>
      <c r="G209" s="175">
        <f>G210</f>
        <v>476480</v>
      </c>
      <c r="H209" s="168">
        <f t="shared" si="43"/>
        <v>84.01749188884186</v>
      </c>
      <c r="I209" s="168" t="e">
        <f>F209/F306</f>
        <v>#REF!</v>
      </c>
      <c r="J209" s="202"/>
      <c r="K209" s="10">
        <f aca="true" t="shared" si="46" ref="K209:P209">K210</f>
        <v>25344</v>
      </c>
      <c r="L209" s="10">
        <f t="shared" si="46"/>
        <v>0</v>
      </c>
      <c r="M209" s="10">
        <f t="shared" si="46"/>
        <v>556758</v>
      </c>
      <c r="N209" s="10">
        <f t="shared" si="46"/>
        <v>0</v>
      </c>
      <c r="O209" s="10">
        <f t="shared" si="46"/>
        <v>0</v>
      </c>
      <c r="P209" s="252">
        <f t="shared" si="46"/>
        <v>559000</v>
      </c>
      <c r="Q209" s="9">
        <f t="shared" si="41"/>
        <v>0.024345378256406657</v>
      </c>
    </row>
    <row r="210" spans="1:17" ht="24" customHeight="1">
      <c r="A210" s="28"/>
      <c r="B210" s="14" t="s">
        <v>541</v>
      </c>
      <c r="C210" s="37"/>
      <c r="D210" s="37"/>
      <c r="E210" s="37">
        <v>213</v>
      </c>
      <c r="F210" s="8">
        <v>567120</v>
      </c>
      <c r="G210" s="176">
        <v>476480</v>
      </c>
      <c r="H210" s="174">
        <f t="shared" si="43"/>
        <v>84.01749188884186</v>
      </c>
      <c r="I210" s="174" t="e">
        <f>F210/F306</f>
        <v>#REF!</v>
      </c>
      <c r="J210" s="46"/>
      <c r="K210" s="11">
        <v>25344</v>
      </c>
      <c r="L210" s="11">
        <v>0</v>
      </c>
      <c r="M210" s="11">
        <v>556758</v>
      </c>
      <c r="N210" s="11">
        <v>0</v>
      </c>
      <c r="O210" s="11">
        <v>0</v>
      </c>
      <c r="P210" s="11">
        <v>559000</v>
      </c>
      <c r="Q210" s="9">
        <f t="shared" si="41"/>
        <v>0.024345378256406657</v>
      </c>
    </row>
    <row r="211" spans="1:17" ht="24" customHeight="1">
      <c r="A211" s="28" t="s">
        <v>518</v>
      </c>
      <c r="B211" s="14" t="s">
        <v>366</v>
      </c>
      <c r="C211" s="37"/>
      <c r="D211" s="87">
        <v>85304</v>
      </c>
      <c r="E211" s="87"/>
      <c r="F211" s="12">
        <f>F212</f>
        <v>0</v>
      </c>
      <c r="G211" s="175">
        <f>G212</f>
        <v>1138000</v>
      </c>
      <c r="H211" s="168">
        <f t="shared" si="43"/>
      </c>
      <c r="I211" s="168" t="e">
        <f>F211/F306</f>
        <v>#REF!</v>
      </c>
      <c r="J211" s="202"/>
      <c r="K211" s="10">
        <f aca="true" t="shared" si="47" ref="K211:P211">K212</f>
        <v>0</v>
      </c>
      <c r="L211" s="10">
        <f t="shared" si="47"/>
        <v>0</v>
      </c>
      <c r="M211" s="10">
        <f t="shared" si="47"/>
        <v>586848</v>
      </c>
      <c r="N211" s="10">
        <f t="shared" si="47"/>
        <v>44006</v>
      </c>
      <c r="O211" s="10">
        <f t="shared" si="47"/>
        <v>0</v>
      </c>
      <c r="P211" s="252">
        <f t="shared" si="47"/>
        <v>416714</v>
      </c>
      <c r="Q211" s="9">
        <f t="shared" si="41"/>
        <v>0.01814858668110956</v>
      </c>
    </row>
    <row r="212" spans="1:17" ht="24" customHeight="1">
      <c r="A212" s="28"/>
      <c r="B212" s="14" t="s">
        <v>541</v>
      </c>
      <c r="C212" s="37"/>
      <c r="D212" s="37"/>
      <c r="E212" s="37">
        <v>213</v>
      </c>
      <c r="F212" s="8">
        <v>0</v>
      </c>
      <c r="G212" s="176">
        <v>1138000</v>
      </c>
      <c r="H212" s="174">
        <f t="shared" si="43"/>
      </c>
      <c r="I212" s="174" t="e">
        <f>F212/F306</f>
        <v>#REF!</v>
      </c>
      <c r="J212" s="46"/>
      <c r="K212" s="11">
        <v>0</v>
      </c>
      <c r="L212" s="11">
        <v>0</v>
      </c>
      <c r="M212" s="11">
        <v>586848</v>
      </c>
      <c r="N212" s="11">
        <v>44006</v>
      </c>
      <c r="O212" s="11">
        <v>0</v>
      </c>
      <c r="P212" s="11">
        <v>416714</v>
      </c>
      <c r="Q212" s="9">
        <f t="shared" si="41"/>
        <v>0.01814858668110956</v>
      </c>
    </row>
    <row r="213" spans="1:17" ht="24" customHeight="1">
      <c r="A213" s="28" t="s">
        <v>521</v>
      </c>
      <c r="B213" s="14" t="s">
        <v>275</v>
      </c>
      <c r="C213" s="37"/>
      <c r="D213" s="87">
        <v>85326</v>
      </c>
      <c r="E213" s="87"/>
      <c r="F213" s="12"/>
      <c r="G213" s="175">
        <f>G214</f>
        <v>22000</v>
      </c>
      <c r="H213" s="168"/>
      <c r="I213" s="168"/>
      <c r="J213" s="202"/>
      <c r="K213" s="10">
        <f aca="true" t="shared" si="48" ref="K213:P213">K214</f>
        <v>0</v>
      </c>
      <c r="L213" s="10">
        <f t="shared" si="48"/>
        <v>0</v>
      </c>
      <c r="M213" s="10">
        <f t="shared" si="48"/>
        <v>41784</v>
      </c>
      <c r="N213" s="10">
        <f t="shared" si="48"/>
        <v>0</v>
      </c>
      <c r="O213" s="10">
        <f t="shared" si="48"/>
        <v>0</v>
      </c>
      <c r="P213" s="252">
        <f t="shared" si="48"/>
        <v>47286</v>
      </c>
      <c r="Q213" s="9">
        <f t="shared" si="41"/>
        <v>0.0020593838215249467</v>
      </c>
    </row>
    <row r="214" spans="1:17" ht="24" customHeight="1">
      <c r="A214" s="28"/>
      <c r="B214" s="14" t="s">
        <v>541</v>
      </c>
      <c r="C214" s="37"/>
      <c r="D214" s="37"/>
      <c r="E214" s="37">
        <v>213</v>
      </c>
      <c r="F214" s="8"/>
      <c r="G214" s="176">
        <v>22000</v>
      </c>
      <c r="H214" s="174"/>
      <c r="I214" s="174"/>
      <c r="J214" s="46"/>
      <c r="K214" s="11">
        <v>0</v>
      </c>
      <c r="L214" s="11">
        <v>0</v>
      </c>
      <c r="M214" s="11">
        <v>41784</v>
      </c>
      <c r="N214" s="11">
        <v>0</v>
      </c>
      <c r="O214" s="11">
        <v>0</v>
      </c>
      <c r="P214" s="11">
        <v>47286</v>
      </c>
      <c r="Q214" s="9">
        <f t="shared" si="41"/>
        <v>0.0020593838215249467</v>
      </c>
    </row>
    <row r="215" spans="1:17" ht="24" customHeight="1">
      <c r="A215" s="28" t="s">
        <v>523</v>
      </c>
      <c r="B215" s="14" t="s">
        <v>278</v>
      </c>
      <c r="C215" s="37"/>
      <c r="D215" s="87">
        <v>85333</v>
      </c>
      <c r="E215" s="87"/>
      <c r="F215" s="12">
        <f>F216</f>
        <v>239000</v>
      </c>
      <c r="G215" s="175">
        <f>G216</f>
        <v>230000</v>
      </c>
      <c r="H215" s="168">
        <f aca="true" t="shared" si="49" ref="H215:H229">IF(F215&gt;0,G215/F215*100,"")</f>
        <v>96.23430962343096</v>
      </c>
      <c r="I215" s="168" t="e">
        <f>F215/F306</f>
        <v>#REF!</v>
      </c>
      <c r="J215" s="202"/>
      <c r="K215" s="10">
        <f aca="true" t="shared" si="50" ref="K215:P215">K216</f>
        <v>0</v>
      </c>
      <c r="L215" s="10">
        <f t="shared" si="50"/>
        <v>0</v>
      </c>
      <c r="M215" s="10">
        <f t="shared" si="50"/>
        <v>112900</v>
      </c>
      <c r="N215" s="10">
        <f t="shared" si="50"/>
        <v>0</v>
      </c>
      <c r="O215" s="10">
        <f t="shared" si="50"/>
        <v>0</v>
      </c>
      <c r="P215" s="252">
        <f t="shared" si="50"/>
        <v>109494</v>
      </c>
      <c r="Q215" s="9">
        <f t="shared" si="41"/>
        <v>0.004768645522016083</v>
      </c>
    </row>
    <row r="216" spans="1:17" ht="24" customHeight="1">
      <c r="A216" s="28"/>
      <c r="B216" s="14" t="s">
        <v>541</v>
      </c>
      <c r="C216" s="37"/>
      <c r="D216" s="37"/>
      <c r="E216" s="37">
        <v>213</v>
      </c>
      <c r="F216" s="8">
        <v>239000</v>
      </c>
      <c r="G216" s="176">
        <v>230000</v>
      </c>
      <c r="H216" s="174">
        <f t="shared" si="49"/>
        <v>96.23430962343096</v>
      </c>
      <c r="I216" s="174" t="e">
        <f>F216/F306</f>
        <v>#REF!</v>
      </c>
      <c r="J216" s="46"/>
      <c r="K216" s="11">
        <v>0</v>
      </c>
      <c r="L216" s="11">
        <v>0</v>
      </c>
      <c r="M216" s="11">
        <v>112900</v>
      </c>
      <c r="N216" s="11">
        <v>0</v>
      </c>
      <c r="O216" s="11">
        <v>0</v>
      </c>
      <c r="P216" s="11">
        <v>109494</v>
      </c>
      <c r="Q216" s="9">
        <f t="shared" si="41"/>
        <v>0.004768645522016083</v>
      </c>
    </row>
    <row r="217" spans="1:17" ht="28.5" customHeight="1" hidden="1">
      <c r="A217" s="23" t="s">
        <v>400</v>
      </c>
      <c r="B217" s="178" t="s">
        <v>526</v>
      </c>
      <c r="C217" s="37">
        <v>854</v>
      </c>
      <c r="D217" s="37"/>
      <c r="E217" s="37"/>
      <c r="F217" s="8">
        <f>F218+F220+F222+F224</f>
        <v>32700</v>
      </c>
      <c r="G217" s="176">
        <f>G218+G220+G222+G224</f>
        <v>0</v>
      </c>
      <c r="H217" s="174">
        <f t="shared" si="49"/>
        <v>0</v>
      </c>
      <c r="I217" s="174" t="e">
        <f>F217/F306</f>
        <v>#REF!</v>
      </c>
      <c r="J217" s="46"/>
      <c r="K217" s="11"/>
      <c r="L217" s="11"/>
      <c r="M217" s="11"/>
      <c r="N217" s="11"/>
      <c r="O217" s="11"/>
      <c r="P217" s="11"/>
      <c r="Q217" s="9">
        <f t="shared" si="41"/>
        <v>0</v>
      </c>
    </row>
    <row r="218" spans="1:17" ht="35.25" customHeight="1" hidden="1">
      <c r="A218" s="28" t="s">
        <v>478</v>
      </c>
      <c r="B218" s="14" t="s">
        <v>284</v>
      </c>
      <c r="C218" s="37"/>
      <c r="D218" s="37">
        <v>85403</v>
      </c>
      <c r="E218" s="37"/>
      <c r="F218" s="8">
        <f>F219</f>
        <v>24000</v>
      </c>
      <c r="G218" s="176">
        <f>G219</f>
        <v>0</v>
      </c>
      <c r="H218" s="174">
        <f t="shared" si="49"/>
        <v>0</v>
      </c>
      <c r="I218" s="174" t="e">
        <f>F218/F306</f>
        <v>#REF!</v>
      </c>
      <c r="J218" s="46"/>
      <c r="K218" s="11"/>
      <c r="L218" s="11"/>
      <c r="M218" s="11"/>
      <c r="N218" s="11"/>
      <c r="O218" s="11"/>
      <c r="P218" s="11"/>
      <c r="Q218" s="9">
        <f t="shared" si="41"/>
        <v>0</v>
      </c>
    </row>
    <row r="219" spans="1:17" ht="30.75" customHeight="1" hidden="1">
      <c r="A219" s="28"/>
      <c r="B219" s="14" t="s">
        <v>541</v>
      </c>
      <c r="C219" s="37"/>
      <c r="D219" s="37"/>
      <c r="E219" s="37">
        <v>213</v>
      </c>
      <c r="F219" s="8">
        <v>24000</v>
      </c>
      <c r="G219" s="176">
        <v>0</v>
      </c>
      <c r="H219" s="174">
        <f t="shared" si="49"/>
        <v>0</v>
      </c>
      <c r="I219" s="174" t="e">
        <f>F219/F306</f>
        <v>#REF!</v>
      </c>
      <c r="J219" s="46"/>
      <c r="K219" s="11"/>
      <c r="L219" s="11"/>
      <c r="M219" s="11"/>
      <c r="N219" s="11"/>
      <c r="O219" s="11"/>
      <c r="P219" s="11"/>
      <c r="Q219" s="9">
        <f t="shared" si="41"/>
        <v>0</v>
      </c>
    </row>
    <row r="220" spans="1:17" ht="33" customHeight="1" hidden="1">
      <c r="A220" s="28" t="s">
        <v>481</v>
      </c>
      <c r="B220" s="14" t="s">
        <v>527</v>
      </c>
      <c r="C220" s="37"/>
      <c r="D220" s="37">
        <v>85406</v>
      </c>
      <c r="E220" s="37"/>
      <c r="F220" s="8">
        <f>F221</f>
        <v>3000</v>
      </c>
      <c r="G220" s="176">
        <f>G221</f>
        <v>0</v>
      </c>
      <c r="H220" s="174">
        <f t="shared" si="49"/>
        <v>0</v>
      </c>
      <c r="I220" s="174" t="e">
        <f>F220/F306</f>
        <v>#REF!</v>
      </c>
      <c r="J220" s="46"/>
      <c r="K220" s="11"/>
      <c r="L220" s="11"/>
      <c r="M220" s="11"/>
      <c r="N220" s="11"/>
      <c r="O220" s="11"/>
      <c r="P220" s="11"/>
      <c r="Q220" s="9">
        <f t="shared" si="41"/>
        <v>0</v>
      </c>
    </row>
    <row r="221" spans="1:17" ht="35.25" customHeight="1" hidden="1">
      <c r="A221" s="28"/>
      <c r="B221" s="14" t="s">
        <v>541</v>
      </c>
      <c r="C221" s="37"/>
      <c r="D221" s="37"/>
      <c r="E221" s="37">
        <v>213</v>
      </c>
      <c r="F221" s="8">
        <v>3000</v>
      </c>
      <c r="G221" s="176">
        <v>0</v>
      </c>
      <c r="H221" s="174">
        <f t="shared" si="49"/>
        <v>0</v>
      </c>
      <c r="I221" s="174" t="e">
        <f>F221/F306</f>
        <v>#REF!</v>
      </c>
      <c r="J221" s="46"/>
      <c r="K221" s="11"/>
      <c r="L221" s="11"/>
      <c r="M221" s="11"/>
      <c r="N221" s="11"/>
      <c r="O221" s="11"/>
      <c r="P221" s="11"/>
      <c r="Q221" s="9">
        <f t="shared" si="41"/>
        <v>0</v>
      </c>
    </row>
    <row r="222" spans="1:17" ht="29.25" customHeight="1" hidden="1">
      <c r="A222" s="28" t="s">
        <v>518</v>
      </c>
      <c r="B222" s="14" t="s">
        <v>293</v>
      </c>
      <c r="C222" s="37"/>
      <c r="D222" s="37">
        <v>85410</v>
      </c>
      <c r="E222" s="37"/>
      <c r="F222" s="8">
        <f>F223</f>
        <v>4500</v>
      </c>
      <c r="G222" s="176">
        <f>G223</f>
        <v>0</v>
      </c>
      <c r="H222" s="174">
        <f t="shared" si="49"/>
        <v>0</v>
      </c>
      <c r="I222" s="174" t="e">
        <f>F222/F306</f>
        <v>#REF!</v>
      </c>
      <c r="J222" s="46"/>
      <c r="K222" s="11"/>
      <c r="L222" s="11"/>
      <c r="M222" s="11"/>
      <c r="N222" s="11"/>
      <c r="O222" s="11"/>
      <c r="P222" s="11"/>
      <c r="Q222" s="9">
        <f t="shared" si="41"/>
        <v>0</v>
      </c>
    </row>
    <row r="223" spans="1:17" ht="35.25" customHeight="1" hidden="1">
      <c r="A223" s="28"/>
      <c r="B223" s="14" t="s">
        <v>541</v>
      </c>
      <c r="C223" s="37"/>
      <c r="D223" s="37"/>
      <c r="E223" s="37">
        <v>213</v>
      </c>
      <c r="F223" s="8">
        <v>4500</v>
      </c>
      <c r="G223" s="176">
        <v>0</v>
      </c>
      <c r="H223" s="174">
        <f t="shared" si="49"/>
        <v>0</v>
      </c>
      <c r="I223" s="174" t="e">
        <f>F223/F306</f>
        <v>#REF!</v>
      </c>
      <c r="J223" s="46"/>
      <c r="K223" s="11"/>
      <c r="L223" s="11"/>
      <c r="M223" s="11"/>
      <c r="N223" s="11"/>
      <c r="O223" s="11"/>
      <c r="P223" s="11"/>
      <c r="Q223" s="9">
        <f t="shared" si="41"/>
        <v>0</v>
      </c>
    </row>
    <row r="224" spans="1:17" ht="32.25" customHeight="1" hidden="1">
      <c r="A224" s="28" t="s">
        <v>521</v>
      </c>
      <c r="B224" s="14" t="s">
        <v>544</v>
      </c>
      <c r="C224" s="37"/>
      <c r="D224" s="37">
        <v>85412</v>
      </c>
      <c r="E224" s="37"/>
      <c r="F224" s="8">
        <f>F225</f>
        <v>1200</v>
      </c>
      <c r="G224" s="176">
        <f>G225</f>
        <v>0</v>
      </c>
      <c r="H224" s="174">
        <f t="shared" si="49"/>
        <v>0</v>
      </c>
      <c r="I224" s="174" t="e">
        <f>F224/F306</f>
        <v>#REF!</v>
      </c>
      <c r="J224" s="46"/>
      <c r="K224" s="11"/>
      <c r="L224" s="11"/>
      <c r="M224" s="11"/>
      <c r="N224" s="11"/>
      <c r="O224" s="11"/>
      <c r="P224" s="11"/>
      <c r="Q224" s="9">
        <f t="shared" si="41"/>
        <v>0</v>
      </c>
    </row>
    <row r="225" spans="1:17" ht="38.25" customHeight="1" hidden="1">
      <c r="A225" s="28"/>
      <c r="B225" s="14" t="s">
        <v>541</v>
      </c>
      <c r="C225" s="37"/>
      <c r="D225" s="37"/>
      <c r="E225" s="37">
        <v>213</v>
      </c>
      <c r="F225" s="8">
        <v>1200</v>
      </c>
      <c r="G225" s="176">
        <v>0</v>
      </c>
      <c r="H225" s="174">
        <f t="shared" si="49"/>
        <v>0</v>
      </c>
      <c r="I225" s="174" t="e">
        <f>F225/F306</f>
        <v>#REF!</v>
      </c>
      <c r="J225" s="46"/>
      <c r="K225" s="11"/>
      <c r="L225" s="11"/>
      <c r="M225" s="11"/>
      <c r="N225" s="11"/>
      <c r="O225" s="11"/>
      <c r="P225" s="11"/>
      <c r="Q225" s="9">
        <f t="shared" si="41"/>
        <v>0</v>
      </c>
    </row>
    <row r="226" spans="1:17" ht="45.75" customHeight="1" hidden="1">
      <c r="A226" s="23" t="s">
        <v>545</v>
      </c>
      <c r="B226" s="7" t="s">
        <v>546</v>
      </c>
      <c r="C226" s="37"/>
      <c r="D226" s="37"/>
      <c r="E226" s="37"/>
      <c r="F226" s="8">
        <f aca="true" t="shared" si="51" ref="F226:G228">F227</f>
        <v>1638000</v>
      </c>
      <c r="G226" s="176">
        <f t="shared" si="51"/>
        <v>0</v>
      </c>
      <c r="H226" s="174">
        <f t="shared" si="49"/>
        <v>0</v>
      </c>
      <c r="I226" s="174" t="e">
        <f>F226/F306</f>
        <v>#REF!</v>
      </c>
      <c r="J226" s="46"/>
      <c r="K226" s="11"/>
      <c r="L226" s="11"/>
      <c r="M226" s="11"/>
      <c r="N226" s="11"/>
      <c r="O226" s="11"/>
      <c r="P226" s="11"/>
      <c r="Q226" s="9">
        <f t="shared" si="41"/>
        <v>0</v>
      </c>
    </row>
    <row r="227" spans="1:17" ht="21.75" customHeight="1" hidden="1">
      <c r="A227" s="23" t="s">
        <v>393</v>
      </c>
      <c r="B227" s="7" t="s">
        <v>519</v>
      </c>
      <c r="C227" s="37">
        <v>851</v>
      </c>
      <c r="D227" s="37"/>
      <c r="E227" s="37"/>
      <c r="F227" s="8">
        <f t="shared" si="51"/>
        <v>1638000</v>
      </c>
      <c r="G227" s="176">
        <f t="shared" si="51"/>
        <v>0</v>
      </c>
      <c r="H227" s="174">
        <f t="shared" si="49"/>
        <v>0</v>
      </c>
      <c r="I227" s="174" t="e">
        <f>F227/F306</f>
        <v>#REF!</v>
      </c>
      <c r="J227" s="46"/>
      <c r="K227" s="11"/>
      <c r="L227" s="11"/>
      <c r="M227" s="11"/>
      <c r="N227" s="11"/>
      <c r="O227" s="11"/>
      <c r="P227" s="11"/>
      <c r="Q227" s="9">
        <f t="shared" si="41"/>
        <v>0</v>
      </c>
    </row>
    <row r="228" spans="1:17" ht="24.75" customHeight="1" hidden="1">
      <c r="A228" s="25" t="s">
        <v>478</v>
      </c>
      <c r="B228" s="33" t="s">
        <v>224</v>
      </c>
      <c r="C228" s="37"/>
      <c r="D228" s="37">
        <v>85111</v>
      </c>
      <c r="E228" s="37"/>
      <c r="F228" s="8">
        <f t="shared" si="51"/>
        <v>1638000</v>
      </c>
      <c r="G228" s="176">
        <f t="shared" si="51"/>
        <v>0</v>
      </c>
      <c r="H228" s="174">
        <f t="shared" si="49"/>
        <v>0</v>
      </c>
      <c r="I228" s="174" t="e">
        <f>F228/F306</f>
        <v>#REF!</v>
      </c>
      <c r="J228" s="46"/>
      <c r="K228" s="11"/>
      <c r="L228" s="11"/>
      <c r="M228" s="11"/>
      <c r="N228" s="11"/>
      <c r="O228" s="11"/>
      <c r="P228" s="11"/>
      <c r="Q228" s="9">
        <f t="shared" si="41"/>
        <v>0</v>
      </c>
    </row>
    <row r="229" spans="1:17" ht="37.5" customHeight="1" hidden="1">
      <c r="A229" s="23"/>
      <c r="B229" s="33" t="s">
        <v>547</v>
      </c>
      <c r="C229" s="37"/>
      <c r="D229" s="37"/>
      <c r="E229" s="37">
        <v>643</v>
      </c>
      <c r="F229" s="8">
        <v>1638000</v>
      </c>
      <c r="G229" s="176">
        <v>0</v>
      </c>
      <c r="H229" s="174">
        <f t="shared" si="49"/>
        <v>0</v>
      </c>
      <c r="I229" s="174" t="e">
        <f>F229/F306</f>
        <v>#REF!</v>
      </c>
      <c r="J229" s="46"/>
      <c r="K229" s="11"/>
      <c r="L229" s="11"/>
      <c r="M229" s="11"/>
      <c r="N229" s="11"/>
      <c r="O229" s="11"/>
      <c r="P229" s="11"/>
      <c r="Q229" s="9">
        <f t="shared" si="41"/>
        <v>0</v>
      </c>
    </row>
    <row r="230" spans="1:17" ht="38.25" customHeight="1" hidden="1">
      <c r="A230" s="23" t="s">
        <v>548</v>
      </c>
      <c r="B230" s="7" t="s">
        <v>549</v>
      </c>
      <c r="C230" s="37"/>
      <c r="D230" s="37"/>
      <c r="E230" s="37"/>
      <c r="F230" s="8">
        <f>F231+F234</f>
        <v>23000</v>
      </c>
      <c r="G230" s="176">
        <f>G231+G234</f>
        <v>0</v>
      </c>
      <c r="H230" s="174">
        <f aca="true" t="shared" si="52" ref="H230:H287">IF(F230&gt;0,G230/F230*100,"")</f>
        <v>0</v>
      </c>
      <c r="I230" s="174" t="e">
        <f>F230/F306</f>
        <v>#REF!</v>
      </c>
      <c r="J230" s="46"/>
      <c r="K230" s="11"/>
      <c r="L230" s="11"/>
      <c r="M230" s="11"/>
      <c r="N230" s="11"/>
      <c r="O230" s="11"/>
      <c r="P230" s="11"/>
      <c r="Q230" s="9">
        <f t="shared" si="41"/>
        <v>0</v>
      </c>
    </row>
    <row r="231" spans="1:17" ht="26.25" customHeight="1" hidden="1">
      <c r="A231" s="23" t="s">
        <v>393</v>
      </c>
      <c r="B231" s="7" t="s">
        <v>503</v>
      </c>
      <c r="C231" s="37">
        <v>754</v>
      </c>
      <c r="D231" s="37"/>
      <c r="E231" s="37"/>
      <c r="F231" s="8">
        <f>F232</f>
        <v>11000</v>
      </c>
      <c r="G231" s="176">
        <f>G232</f>
        <v>0</v>
      </c>
      <c r="H231" s="174">
        <f t="shared" si="52"/>
        <v>0</v>
      </c>
      <c r="I231" s="174" t="e">
        <f>F231/F306</f>
        <v>#REF!</v>
      </c>
      <c r="J231" s="46"/>
      <c r="K231" s="11"/>
      <c r="L231" s="11"/>
      <c r="M231" s="11"/>
      <c r="N231" s="11"/>
      <c r="O231" s="11"/>
      <c r="P231" s="11"/>
      <c r="Q231" s="9">
        <f t="shared" si="41"/>
        <v>0</v>
      </c>
    </row>
    <row r="232" spans="1:17" ht="21" customHeight="1" hidden="1">
      <c r="A232" s="23" t="s">
        <v>478</v>
      </c>
      <c r="B232" s="7" t="s">
        <v>128</v>
      </c>
      <c r="C232" s="37"/>
      <c r="D232" s="37">
        <v>75405</v>
      </c>
      <c r="E232" s="37"/>
      <c r="F232" s="8">
        <f>F233</f>
        <v>11000</v>
      </c>
      <c r="G232" s="176">
        <f>G233</f>
        <v>0</v>
      </c>
      <c r="H232" s="174">
        <f t="shared" si="52"/>
        <v>0</v>
      </c>
      <c r="I232" s="174" t="e">
        <f>F232/F306</f>
        <v>#REF!</v>
      </c>
      <c r="J232" s="46"/>
      <c r="K232" s="11"/>
      <c r="L232" s="11"/>
      <c r="M232" s="11"/>
      <c r="N232" s="11"/>
      <c r="O232" s="11"/>
      <c r="P232" s="11"/>
      <c r="Q232" s="9">
        <f t="shared" si="41"/>
        <v>0</v>
      </c>
    </row>
    <row r="233" spans="1:17" ht="42" customHeight="1" hidden="1">
      <c r="A233" s="23"/>
      <c r="B233" s="33" t="s">
        <v>550</v>
      </c>
      <c r="C233" s="37"/>
      <c r="D233" s="37"/>
      <c r="E233" s="37">
        <v>231</v>
      </c>
      <c r="F233" s="8">
        <v>11000</v>
      </c>
      <c r="G233" s="176">
        <v>0</v>
      </c>
      <c r="H233" s="174">
        <f t="shared" si="52"/>
        <v>0</v>
      </c>
      <c r="I233" s="174" t="e">
        <f>F233/F306</f>
        <v>#REF!</v>
      </c>
      <c r="J233" s="46"/>
      <c r="K233" s="11"/>
      <c r="L233" s="11"/>
      <c r="M233" s="11"/>
      <c r="N233" s="11"/>
      <c r="O233" s="11"/>
      <c r="P233" s="11"/>
      <c r="Q233" s="9">
        <f t="shared" si="41"/>
        <v>0</v>
      </c>
    </row>
    <row r="234" spans="1:17" ht="20.25" customHeight="1" hidden="1">
      <c r="A234" s="23" t="s">
        <v>395</v>
      </c>
      <c r="B234" s="7" t="s">
        <v>515</v>
      </c>
      <c r="C234" s="37">
        <v>801</v>
      </c>
      <c r="D234" s="37"/>
      <c r="E234" s="37"/>
      <c r="F234" s="8">
        <f>F235+F237</f>
        <v>12000</v>
      </c>
      <c r="G234" s="176">
        <f>G235+G237</f>
        <v>0</v>
      </c>
      <c r="H234" s="174">
        <f t="shared" si="52"/>
        <v>0</v>
      </c>
      <c r="I234" s="174" t="e">
        <f>F234/F306</f>
        <v>#REF!</v>
      </c>
      <c r="J234" s="46"/>
      <c r="K234" s="11"/>
      <c r="L234" s="11"/>
      <c r="M234" s="11"/>
      <c r="N234" s="11"/>
      <c r="O234" s="11"/>
      <c r="P234" s="11"/>
      <c r="Q234" s="9">
        <f t="shared" si="41"/>
        <v>0</v>
      </c>
    </row>
    <row r="235" spans="1:17" ht="20.25" customHeight="1" hidden="1">
      <c r="A235" s="25" t="s">
        <v>478</v>
      </c>
      <c r="B235" s="33" t="s">
        <v>182</v>
      </c>
      <c r="C235" s="37"/>
      <c r="D235" s="37">
        <v>80120</v>
      </c>
      <c r="E235" s="37"/>
      <c r="F235" s="8">
        <f>F236</f>
        <v>7000</v>
      </c>
      <c r="G235" s="176">
        <f>G236</f>
        <v>0</v>
      </c>
      <c r="H235" s="174">
        <f t="shared" si="52"/>
        <v>0</v>
      </c>
      <c r="I235" s="9" t="e">
        <f>F235/F306</f>
        <v>#REF!</v>
      </c>
      <c r="J235" s="46"/>
      <c r="K235" s="11"/>
      <c r="L235" s="11"/>
      <c r="M235" s="11"/>
      <c r="N235" s="11"/>
      <c r="O235" s="11"/>
      <c r="P235" s="11"/>
      <c r="Q235" s="9">
        <f t="shared" si="41"/>
        <v>0</v>
      </c>
    </row>
    <row r="236" spans="1:17" ht="40.5" customHeight="1" hidden="1">
      <c r="A236" s="23"/>
      <c r="B236" s="33" t="s">
        <v>550</v>
      </c>
      <c r="C236" s="37"/>
      <c r="D236" s="37"/>
      <c r="E236" s="37">
        <v>231</v>
      </c>
      <c r="F236" s="8">
        <v>7000</v>
      </c>
      <c r="G236" s="176">
        <v>0</v>
      </c>
      <c r="H236" s="174">
        <f t="shared" si="52"/>
        <v>0</v>
      </c>
      <c r="I236" s="9" t="e">
        <f>F236/F306</f>
        <v>#REF!</v>
      </c>
      <c r="J236" s="46"/>
      <c r="K236" s="11"/>
      <c r="L236" s="11"/>
      <c r="M236" s="11"/>
      <c r="N236" s="11"/>
      <c r="O236" s="11"/>
      <c r="P236" s="11"/>
      <c r="Q236" s="9">
        <f t="shared" si="41"/>
        <v>0</v>
      </c>
    </row>
    <row r="237" spans="1:17" ht="19.5" customHeight="1" hidden="1">
      <c r="A237" s="25" t="s">
        <v>481</v>
      </c>
      <c r="B237" s="33" t="s">
        <v>197</v>
      </c>
      <c r="C237" s="37"/>
      <c r="D237" s="37">
        <v>80131</v>
      </c>
      <c r="E237" s="37"/>
      <c r="F237" s="8">
        <f>F238</f>
        <v>5000</v>
      </c>
      <c r="G237" s="176">
        <f>G238</f>
        <v>0</v>
      </c>
      <c r="H237" s="174">
        <f t="shared" si="52"/>
        <v>0</v>
      </c>
      <c r="I237" s="9" t="e">
        <f>F237/F306</f>
        <v>#REF!</v>
      </c>
      <c r="J237" s="46"/>
      <c r="K237" s="11"/>
      <c r="L237" s="11"/>
      <c r="M237" s="11"/>
      <c r="N237" s="11"/>
      <c r="O237" s="11"/>
      <c r="P237" s="11"/>
      <c r="Q237" s="9">
        <f t="shared" si="41"/>
        <v>0</v>
      </c>
    </row>
    <row r="238" spans="1:17" ht="40.5" customHeight="1" hidden="1">
      <c r="A238" s="23"/>
      <c r="B238" s="33" t="s">
        <v>550</v>
      </c>
      <c r="C238" s="37"/>
      <c r="D238" s="37"/>
      <c r="E238" s="37">
        <v>231</v>
      </c>
      <c r="F238" s="8">
        <v>5000</v>
      </c>
      <c r="G238" s="176">
        <v>0</v>
      </c>
      <c r="H238" s="174">
        <f t="shared" si="52"/>
        <v>0</v>
      </c>
      <c r="I238" s="9" t="e">
        <f>F238/F306</f>
        <v>#REF!</v>
      </c>
      <c r="J238" s="46"/>
      <c r="K238" s="11"/>
      <c r="L238" s="11"/>
      <c r="M238" s="11"/>
      <c r="N238" s="11"/>
      <c r="O238" s="11"/>
      <c r="P238" s="11"/>
      <c r="Q238" s="9">
        <f t="shared" si="41"/>
        <v>0</v>
      </c>
    </row>
    <row r="239" spans="1:17" ht="42" customHeight="1" hidden="1">
      <c r="A239" s="23" t="s">
        <v>423</v>
      </c>
      <c r="B239" s="7" t="s">
        <v>551</v>
      </c>
      <c r="C239" s="31"/>
      <c r="D239" s="31"/>
      <c r="E239" s="31"/>
      <c r="F239" s="12">
        <f>F240</f>
        <v>45000</v>
      </c>
      <c r="G239" s="175">
        <f>G240</f>
        <v>0</v>
      </c>
      <c r="H239" s="174">
        <f t="shared" si="52"/>
        <v>0</v>
      </c>
      <c r="I239" s="13" t="e">
        <f>F239/F306</f>
        <v>#REF!</v>
      </c>
      <c r="J239" s="46"/>
      <c r="K239" s="11"/>
      <c r="L239" s="11"/>
      <c r="M239" s="11"/>
      <c r="N239" s="11"/>
      <c r="O239" s="11"/>
      <c r="P239" s="11"/>
      <c r="Q239" s="9">
        <f t="shared" si="41"/>
        <v>0</v>
      </c>
    </row>
    <row r="240" spans="1:17" ht="18.75" customHeight="1" hidden="1">
      <c r="A240" s="23" t="s">
        <v>393</v>
      </c>
      <c r="B240" s="7" t="s">
        <v>519</v>
      </c>
      <c r="C240" s="35" t="s">
        <v>221</v>
      </c>
      <c r="D240" s="31"/>
      <c r="E240" s="31"/>
      <c r="F240" s="12">
        <f>F241+F243</f>
        <v>45000</v>
      </c>
      <c r="G240" s="175">
        <f>G241+G243</f>
        <v>0</v>
      </c>
      <c r="H240" s="174">
        <f t="shared" si="52"/>
        <v>0</v>
      </c>
      <c r="I240" s="13" t="e">
        <f>F240/F306</f>
        <v>#REF!</v>
      </c>
      <c r="J240" s="46"/>
      <c r="K240" s="11"/>
      <c r="L240" s="11"/>
      <c r="M240" s="11"/>
      <c r="N240" s="11"/>
      <c r="O240" s="11"/>
      <c r="P240" s="11"/>
      <c r="Q240" s="9">
        <f t="shared" si="41"/>
        <v>0</v>
      </c>
    </row>
    <row r="241" spans="1:17" ht="18.75" customHeight="1" hidden="1">
      <c r="A241" s="25" t="s">
        <v>478</v>
      </c>
      <c r="B241" s="33" t="s">
        <v>224</v>
      </c>
      <c r="C241" s="35"/>
      <c r="D241" s="35" t="s">
        <v>223</v>
      </c>
      <c r="E241" s="31"/>
      <c r="F241" s="151">
        <f>F242</f>
        <v>40000</v>
      </c>
      <c r="G241" s="185">
        <f>G242</f>
        <v>0</v>
      </c>
      <c r="H241" s="174">
        <f t="shared" si="52"/>
        <v>0</v>
      </c>
      <c r="I241" s="13" t="e">
        <f>F241/F306</f>
        <v>#REF!</v>
      </c>
      <c r="J241" s="46"/>
      <c r="K241" s="11"/>
      <c r="L241" s="11"/>
      <c r="M241" s="11"/>
      <c r="N241" s="11"/>
      <c r="O241" s="11"/>
      <c r="P241" s="11"/>
      <c r="Q241" s="9">
        <f t="shared" si="41"/>
        <v>0</v>
      </c>
    </row>
    <row r="242" spans="1:17" ht="55.5" customHeight="1" hidden="1">
      <c r="A242" s="23"/>
      <c r="B242" s="33" t="s">
        <v>552</v>
      </c>
      <c r="C242" s="35"/>
      <c r="D242" s="35"/>
      <c r="E242" s="35" t="s">
        <v>553</v>
      </c>
      <c r="F242" s="151">
        <v>40000</v>
      </c>
      <c r="G242" s="185">
        <v>0</v>
      </c>
      <c r="H242" s="174">
        <f t="shared" si="52"/>
        <v>0</v>
      </c>
      <c r="I242" s="13" t="e">
        <f>F242/F306</f>
        <v>#REF!</v>
      </c>
      <c r="J242" s="46"/>
      <c r="K242" s="11"/>
      <c r="L242" s="11"/>
      <c r="M242" s="11"/>
      <c r="N242" s="11"/>
      <c r="O242" s="11"/>
      <c r="P242" s="11"/>
      <c r="Q242" s="9">
        <f t="shared" si="41"/>
        <v>0</v>
      </c>
    </row>
    <row r="243" spans="1:17" ht="24.75" customHeight="1" hidden="1">
      <c r="A243" s="25" t="s">
        <v>481</v>
      </c>
      <c r="B243" s="33" t="s">
        <v>554</v>
      </c>
      <c r="C243" s="35"/>
      <c r="D243" s="35" t="s">
        <v>230</v>
      </c>
      <c r="E243" s="35"/>
      <c r="F243" s="151">
        <f>F244</f>
        <v>5000</v>
      </c>
      <c r="G243" s="185">
        <f>G244</f>
        <v>0</v>
      </c>
      <c r="H243" s="174">
        <f t="shared" si="52"/>
        <v>0</v>
      </c>
      <c r="I243" s="187" t="e">
        <f>F243/F306</f>
        <v>#REF!</v>
      </c>
      <c r="J243" s="46"/>
      <c r="K243" s="11"/>
      <c r="L243" s="11"/>
      <c r="M243" s="11"/>
      <c r="N243" s="11"/>
      <c r="O243" s="11"/>
      <c r="P243" s="11"/>
      <c r="Q243" s="9">
        <f t="shared" si="41"/>
        <v>0</v>
      </c>
    </row>
    <row r="244" spans="1:17" ht="50.25" customHeight="1" hidden="1">
      <c r="A244" s="25"/>
      <c r="B244" s="33" t="s">
        <v>552</v>
      </c>
      <c r="C244" s="35"/>
      <c r="D244" s="35"/>
      <c r="E244" s="35" t="s">
        <v>553</v>
      </c>
      <c r="F244" s="151">
        <v>5000</v>
      </c>
      <c r="G244" s="185">
        <v>0</v>
      </c>
      <c r="H244" s="174">
        <f t="shared" si="52"/>
        <v>0</v>
      </c>
      <c r="I244" s="187" t="e">
        <f>F244/F306</f>
        <v>#REF!</v>
      </c>
      <c r="J244" s="46"/>
      <c r="K244" s="11"/>
      <c r="L244" s="11"/>
      <c r="M244" s="11"/>
      <c r="N244" s="11"/>
      <c r="O244" s="11"/>
      <c r="P244" s="11"/>
      <c r="Q244" s="9">
        <f t="shared" si="41"/>
        <v>0</v>
      </c>
    </row>
    <row r="245" spans="1:17" ht="21.75" customHeight="1">
      <c r="A245" s="25" t="s">
        <v>525</v>
      </c>
      <c r="B245" s="33" t="s">
        <v>124</v>
      </c>
      <c r="C245" s="219"/>
      <c r="D245" s="31" t="s">
        <v>279</v>
      </c>
      <c r="E245" s="31"/>
      <c r="F245" s="222"/>
      <c r="G245" s="175">
        <f>G246</f>
        <v>6515</v>
      </c>
      <c r="H245" s="168"/>
      <c r="I245" s="223"/>
      <c r="J245" s="202"/>
      <c r="K245" s="10">
        <f aca="true" t="shared" si="53" ref="K245:P245">K246</f>
        <v>3292</v>
      </c>
      <c r="L245" s="10">
        <f t="shared" si="53"/>
        <v>0</v>
      </c>
      <c r="M245" s="10">
        <f t="shared" si="53"/>
        <v>2887</v>
      </c>
      <c r="N245" s="10">
        <f t="shared" si="53"/>
        <v>0</v>
      </c>
      <c r="O245" s="10">
        <f t="shared" si="53"/>
        <v>0</v>
      </c>
      <c r="P245" s="252">
        <f t="shared" si="53"/>
        <v>2397</v>
      </c>
      <c r="Q245" s="9">
        <f t="shared" si="41"/>
        <v>0.00010439333037675627</v>
      </c>
    </row>
    <row r="246" spans="1:17" ht="32.25" customHeight="1">
      <c r="A246" s="25"/>
      <c r="B246" s="14" t="s">
        <v>541</v>
      </c>
      <c r="C246" s="219"/>
      <c r="D246" s="35"/>
      <c r="E246" s="35" t="s">
        <v>555</v>
      </c>
      <c r="F246" s="216"/>
      <c r="G246" s="185">
        <v>6515</v>
      </c>
      <c r="H246" s="174"/>
      <c r="I246" s="220"/>
      <c r="J246" s="46"/>
      <c r="K246" s="11">
        <v>3292</v>
      </c>
      <c r="L246" s="11">
        <v>0</v>
      </c>
      <c r="M246" s="11">
        <v>2887</v>
      </c>
      <c r="N246" s="11">
        <v>0</v>
      </c>
      <c r="O246" s="11">
        <v>0</v>
      </c>
      <c r="P246" s="11">
        <v>2397</v>
      </c>
      <c r="Q246" s="9">
        <f t="shared" si="41"/>
        <v>0.00010439333037675627</v>
      </c>
    </row>
    <row r="247" spans="1:17" ht="32.25" customHeight="1">
      <c r="A247" s="23" t="s">
        <v>400</v>
      </c>
      <c r="B247" s="7" t="s">
        <v>526</v>
      </c>
      <c r="C247" s="221" t="s">
        <v>281</v>
      </c>
      <c r="D247" s="31"/>
      <c r="E247" s="31"/>
      <c r="F247" s="222"/>
      <c r="G247" s="175">
        <f>G254+G256</f>
        <v>94026</v>
      </c>
      <c r="H247" s="168"/>
      <c r="I247" s="223"/>
      <c r="J247" s="202"/>
      <c r="K247" s="10">
        <f>K254+K256</f>
        <v>27582</v>
      </c>
      <c r="L247" s="10">
        <f>L254+L256</f>
        <v>0</v>
      </c>
      <c r="M247" s="10">
        <f>M254+M256+M248+M250+M252</f>
        <v>83340</v>
      </c>
      <c r="N247" s="10">
        <f>N254+N256+N248+N250+N252</f>
        <v>0</v>
      </c>
      <c r="O247" s="10">
        <f>O254+O256+O248+O250+O252</f>
        <v>0</v>
      </c>
      <c r="P247" s="10">
        <f>P254+P256+P248+P250+P252</f>
        <v>8887</v>
      </c>
      <c r="Q247" s="9">
        <f t="shared" si="41"/>
        <v>0.0003870436074502432</v>
      </c>
    </row>
    <row r="248" spans="1:17" ht="23.25" customHeight="1" hidden="1">
      <c r="A248" s="23" t="s">
        <v>478</v>
      </c>
      <c r="B248" s="7" t="s">
        <v>284</v>
      </c>
      <c r="C248" s="221"/>
      <c r="D248" s="31" t="s">
        <v>283</v>
      </c>
      <c r="E248" s="31"/>
      <c r="F248" s="222"/>
      <c r="G248" s="175"/>
      <c r="H248" s="168"/>
      <c r="I248" s="223"/>
      <c r="J248" s="202"/>
      <c r="K248" s="10"/>
      <c r="L248" s="10"/>
      <c r="M248" s="10">
        <f>M249</f>
        <v>7847</v>
      </c>
      <c r="N248" s="10">
        <f>N249</f>
        <v>0</v>
      </c>
      <c r="O248" s="10">
        <f>O249</f>
        <v>0</v>
      </c>
      <c r="P248" s="10">
        <f>P249</f>
        <v>0</v>
      </c>
      <c r="Q248" s="9">
        <f t="shared" si="41"/>
        <v>0</v>
      </c>
    </row>
    <row r="249" spans="1:17" ht="21.75" customHeight="1" hidden="1">
      <c r="A249" s="23"/>
      <c r="B249" s="14" t="s">
        <v>541</v>
      </c>
      <c r="C249" s="219"/>
      <c r="D249" s="35"/>
      <c r="E249" s="35" t="s">
        <v>555</v>
      </c>
      <c r="F249" s="216"/>
      <c r="G249" s="185"/>
      <c r="H249" s="186"/>
      <c r="I249" s="220"/>
      <c r="J249" s="212"/>
      <c r="K249" s="24"/>
      <c r="L249" s="24"/>
      <c r="M249" s="24">
        <v>7847</v>
      </c>
      <c r="N249" s="24">
        <v>0</v>
      </c>
      <c r="O249" s="24">
        <v>0</v>
      </c>
      <c r="P249" s="11">
        <v>0</v>
      </c>
      <c r="Q249" s="9">
        <f t="shared" si="41"/>
        <v>0</v>
      </c>
    </row>
    <row r="250" spans="1:17" ht="26.25" customHeight="1" hidden="1">
      <c r="A250" s="23" t="s">
        <v>481</v>
      </c>
      <c r="B250" s="7" t="s">
        <v>527</v>
      </c>
      <c r="C250" s="221"/>
      <c r="D250" s="31" t="s">
        <v>290</v>
      </c>
      <c r="E250" s="31"/>
      <c r="F250" s="222"/>
      <c r="G250" s="175"/>
      <c r="H250" s="168"/>
      <c r="I250" s="223"/>
      <c r="J250" s="202"/>
      <c r="K250" s="10"/>
      <c r="L250" s="10"/>
      <c r="M250" s="10">
        <f>M251</f>
        <v>2274</v>
      </c>
      <c r="N250" s="10">
        <f>N251</f>
        <v>0</v>
      </c>
      <c r="O250" s="10">
        <f>O251</f>
        <v>0</v>
      </c>
      <c r="P250" s="10">
        <f>P251</f>
        <v>0</v>
      </c>
      <c r="Q250" s="9">
        <f t="shared" si="41"/>
        <v>0</v>
      </c>
    </row>
    <row r="251" spans="1:17" ht="26.25" customHeight="1" hidden="1">
      <c r="A251" s="23"/>
      <c r="B251" s="14" t="s">
        <v>541</v>
      </c>
      <c r="C251" s="219"/>
      <c r="D251" s="35"/>
      <c r="E251" s="35" t="s">
        <v>555</v>
      </c>
      <c r="F251" s="216"/>
      <c r="G251" s="185"/>
      <c r="H251" s="186"/>
      <c r="I251" s="220"/>
      <c r="J251" s="212"/>
      <c r="K251" s="24"/>
      <c r="L251" s="24"/>
      <c r="M251" s="24">
        <v>2274</v>
      </c>
      <c r="N251" s="24">
        <v>0</v>
      </c>
      <c r="O251" s="24">
        <v>0</v>
      </c>
      <c r="P251" s="11">
        <v>0</v>
      </c>
      <c r="Q251" s="9">
        <f t="shared" si="41"/>
        <v>0</v>
      </c>
    </row>
    <row r="252" spans="1:17" ht="27.75" customHeight="1" hidden="1">
      <c r="A252" s="23" t="s">
        <v>518</v>
      </c>
      <c r="B252" s="7" t="s">
        <v>293</v>
      </c>
      <c r="C252" s="221"/>
      <c r="D252" s="31" t="s">
        <v>292</v>
      </c>
      <c r="E252" s="31"/>
      <c r="F252" s="222"/>
      <c r="G252" s="175"/>
      <c r="H252" s="168"/>
      <c r="I252" s="223"/>
      <c r="J252" s="202"/>
      <c r="K252" s="10"/>
      <c r="L252" s="10"/>
      <c r="M252" s="10">
        <f>M253</f>
        <v>1744</v>
      </c>
      <c r="N252" s="10">
        <f>N253</f>
        <v>0</v>
      </c>
      <c r="O252" s="10">
        <f>O253</f>
        <v>0</v>
      </c>
      <c r="P252" s="10">
        <f>P253</f>
        <v>0</v>
      </c>
      <c r="Q252" s="9">
        <f t="shared" si="41"/>
        <v>0</v>
      </c>
    </row>
    <row r="253" spans="1:17" ht="21.75" customHeight="1" hidden="1">
      <c r="A253" s="23"/>
      <c r="B253" s="14" t="s">
        <v>541</v>
      </c>
      <c r="C253" s="219"/>
      <c r="D253" s="35"/>
      <c r="E253" s="35" t="s">
        <v>555</v>
      </c>
      <c r="F253" s="216"/>
      <c r="G253" s="185"/>
      <c r="H253" s="186"/>
      <c r="I253" s="220"/>
      <c r="J253" s="212"/>
      <c r="K253" s="24"/>
      <c r="L253" s="24"/>
      <c r="M253" s="24">
        <v>1744</v>
      </c>
      <c r="N253" s="24">
        <v>0</v>
      </c>
      <c r="O253" s="24">
        <v>0</v>
      </c>
      <c r="P253" s="11">
        <v>0</v>
      </c>
      <c r="Q253" s="9">
        <f t="shared" si="41"/>
        <v>0</v>
      </c>
    </row>
    <row r="254" spans="1:17" ht="21.75" customHeight="1" hidden="1">
      <c r="A254" s="23" t="s">
        <v>521</v>
      </c>
      <c r="B254" s="7" t="s">
        <v>556</v>
      </c>
      <c r="C254" s="219"/>
      <c r="D254" s="31" t="s">
        <v>297</v>
      </c>
      <c r="E254" s="31"/>
      <c r="F254" s="222"/>
      <c r="G254" s="175">
        <f>G255</f>
        <v>94026</v>
      </c>
      <c r="H254" s="168"/>
      <c r="I254" s="223"/>
      <c r="J254" s="153"/>
      <c r="K254" s="10">
        <f aca="true" t="shared" si="54" ref="K254:P254">K255</f>
        <v>0</v>
      </c>
      <c r="L254" s="10">
        <f t="shared" si="54"/>
        <v>0</v>
      </c>
      <c r="M254" s="10">
        <f t="shared" si="54"/>
        <v>59352</v>
      </c>
      <c r="N254" s="10">
        <f t="shared" si="54"/>
        <v>0</v>
      </c>
      <c r="O254" s="10">
        <f t="shared" si="54"/>
        <v>0</v>
      </c>
      <c r="P254" s="252">
        <f t="shared" si="54"/>
        <v>0</v>
      </c>
      <c r="Q254" s="9">
        <f t="shared" si="41"/>
        <v>0</v>
      </c>
    </row>
    <row r="255" spans="1:17" ht="27" customHeight="1" hidden="1">
      <c r="A255" s="25"/>
      <c r="B255" s="14" t="s">
        <v>541</v>
      </c>
      <c r="C255" s="219"/>
      <c r="D255" s="35"/>
      <c r="E255" s="35" t="s">
        <v>555</v>
      </c>
      <c r="F255" s="216"/>
      <c r="G255" s="185">
        <v>94026</v>
      </c>
      <c r="H255" s="174"/>
      <c r="I255" s="220"/>
      <c r="J255" s="145"/>
      <c r="K255" s="11">
        <v>0</v>
      </c>
      <c r="L255" s="11">
        <v>0</v>
      </c>
      <c r="M255" s="11">
        <v>59352</v>
      </c>
      <c r="N255" s="11">
        <v>0</v>
      </c>
      <c r="O255" s="11">
        <v>0</v>
      </c>
      <c r="P255" s="11">
        <v>0</v>
      </c>
      <c r="Q255" s="9">
        <f t="shared" si="41"/>
        <v>0</v>
      </c>
    </row>
    <row r="256" spans="1:17" ht="19.5" customHeight="1">
      <c r="A256" s="23" t="s">
        <v>478</v>
      </c>
      <c r="B256" s="7" t="s">
        <v>124</v>
      </c>
      <c r="C256" s="219"/>
      <c r="D256" s="31" t="s">
        <v>305</v>
      </c>
      <c r="E256" s="31"/>
      <c r="F256" s="222"/>
      <c r="G256" s="175">
        <f>G257</f>
        <v>0</v>
      </c>
      <c r="H256" s="168"/>
      <c r="I256" s="223"/>
      <c r="J256" s="202"/>
      <c r="K256" s="10">
        <f aca="true" t="shared" si="55" ref="K256:P256">K257</f>
        <v>27582</v>
      </c>
      <c r="L256" s="10">
        <f t="shared" si="55"/>
        <v>0</v>
      </c>
      <c r="M256" s="10">
        <f t="shared" si="55"/>
        <v>12123</v>
      </c>
      <c r="N256" s="10">
        <f t="shared" si="55"/>
        <v>0</v>
      </c>
      <c r="O256" s="10">
        <f t="shared" si="55"/>
        <v>0</v>
      </c>
      <c r="P256" s="252">
        <f t="shared" si="55"/>
        <v>8887</v>
      </c>
      <c r="Q256" s="9">
        <f t="shared" si="41"/>
        <v>0.0003870436074502432</v>
      </c>
    </row>
    <row r="257" spans="1:17" ht="23.25" customHeight="1">
      <c r="A257" s="25"/>
      <c r="B257" s="14" t="s">
        <v>541</v>
      </c>
      <c r="C257" s="219"/>
      <c r="D257" s="35"/>
      <c r="E257" s="35" t="s">
        <v>555</v>
      </c>
      <c r="F257" s="216"/>
      <c r="G257" s="185">
        <v>0</v>
      </c>
      <c r="H257" s="174"/>
      <c r="I257" s="220"/>
      <c r="J257" s="46"/>
      <c r="K257" s="11">
        <v>27582</v>
      </c>
      <c r="L257" s="11">
        <v>0</v>
      </c>
      <c r="M257" s="11">
        <v>12123</v>
      </c>
      <c r="N257" s="11">
        <v>0</v>
      </c>
      <c r="O257" s="11">
        <v>0</v>
      </c>
      <c r="P257" s="11">
        <v>8887</v>
      </c>
      <c r="Q257" s="9">
        <f aca="true" t="shared" si="56" ref="Q257:Q265">P257/$P$306</f>
        <v>0.0003870436074502432</v>
      </c>
    </row>
    <row r="258" spans="1:29" s="142" customFormat="1" ht="51.75" customHeight="1">
      <c r="A258" s="23" t="s">
        <v>425</v>
      </c>
      <c r="B258" s="224" t="s">
        <v>557</v>
      </c>
      <c r="C258" s="37"/>
      <c r="D258" s="37"/>
      <c r="E258" s="37"/>
      <c r="F258" s="12">
        <f>F259+F262+F265+F267+F271+F276+F279+F282</f>
        <v>11434130</v>
      </c>
      <c r="G258" s="175">
        <f>G259+G262+G265+G267+G271+G276+G279+G282</f>
        <v>12875467</v>
      </c>
      <c r="H258" s="174">
        <f t="shared" si="52"/>
        <v>112.60556771700165</v>
      </c>
      <c r="I258" s="13" t="e">
        <f>F258/F306</f>
        <v>#REF!</v>
      </c>
      <c r="J258" s="11"/>
      <c r="K258" s="10">
        <f>K259+K262+K265+K267+K271+K276+K279+K282</f>
        <v>3043</v>
      </c>
      <c r="L258" s="10">
        <f>L259+L262+L265+L267+L271+L276+L279+L282</f>
        <v>0</v>
      </c>
      <c r="M258" s="10">
        <f>M259+M262+M265+M267+M271+M276+M279+M282+M274</f>
        <v>6988307</v>
      </c>
      <c r="N258" s="10">
        <f>N259+N262+N265+N267+N271+N276+N279+N282+N274</f>
        <v>0</v>
      </c>
      <c r="O258" s="10">
        <f>O259+O262+O265+O267+O271+O276+O279+O282+O274</f>
        <v>70165</v>
      </c>
      <c r="P258" s="10">
        <f>P259+P262+P265+P267+P271+P276+P279+P282+P274</f>
        <v>3101926</v>
      </c>
      <c r="Q258" s="9">
        <f t="shared" si="56"/>
        <v>0.13509402825292036</v>
      </c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</row>
    <row r="259" spans="1:29" ht="29.25" customHeight="1">
      <c r="A259" s="23" t="s">
        <v>393</v>
      </c>
      <c r="B259" s="177" t="s">
        <v>477</v>
      </c>
      <c r="C259" s="22" t="s">
        <v>40</v>
      </c>
      <c r="D259" s="37"/>
      <c r="E259" s="37"/>
      <c r="F259" s="8">
        <f>F260+F261</f>
        <v>303000</v>
      </c>
      <c r="G259" s="185">
        <f>G260+G261</f>
        <v>373400</v>
      </c>
      <c r="H259" s="174">
        <f t="shared" si="52"/>
        <v>123.23432343234325</v>
      </c>
      <c r="I259" s="9" t="e">
        <f>F259/F306</f>
        <v>#REF!</v>
      </c>
      <c r="J259" s="11"/>
      <c r="K259" s="11">
        <f>K260+K261</f>
        <v>0</v>
      </c>
      <c r="L259" s="11">
        <f>L260+L261</f>
        <v>0</v>
      </c>
      <c r="M259" s="10">
        <f>M260+M261+M264</f>
        <v>449500</v>
      </c>
      <c r="N259" s="10">
        <f>N260+N261+N264</f>
        <v>0</v>
      </c>
      <c r="O259" s="10">
        <f>O260+O261+O264</f>
        <v>0</v>
      </c>
      <c r="P259" s="10">
        <f>P260+P261+P264</f>
        <v>159000</v>
      </c>
      <c r="Q259" s="9">
        <f t="shared" si="56"/>
        <v>0.0069247140299976</v>
      </c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</row>
    <row r="260" spans="1:17" ht="32.25" customHeight="1">
      <c r="A260" s="215" t="s">
        <v>478</v>
      </c>
      <c r="B260" s="225" t="s">
        <v>341</v>
      </c>
      <c r="C260" s="205"/>
      <c r="D260" s="165" t="s">
        <v>72</v>
      </c>
      <c r="E260" s="205">
        <v>211</v>
      </c>
      <c r="F260" s="98">
        <v>0</v>
      </c>
      <c r="G260" s="173">
        <v>37400</v>
      </c>
      <c r="H260" s="226">
        <f t="shared" si="52"/>
      </c>
      <c r="I260" s="227" t="e">
        <f>F260/F306</f>
        <v>#REF!</v>
      </c>
      <c r="J260" s="46"/>
      <c r="K260" s="45">
        <v>0</v>
      </c>
      <c r="L260" s="45">
        <v>0</v>
      </c>
      <c r="M260" s="11">
        <v>44000</v>
      </c>
      <c r="N260" s="11">
        <v>0</v>
      </c>
      <c r="O260" s="11">
        <v>0</v>
      </c>
      <c r="P260" s="11">
        <v>45000</v>
      </c>
      <c r="Q260" s="9">
        <f t="shared" si="56"/>
        <v>0.001959824725471019</v>
      </c>
    </row>
    <row r="261" spans="1:17" ht="17.25" customHeight="1">
      <c r="A261" s="215" t="s">
        <v>481</v>
      </c>
      <c r="B261" s="11" t="s">
        <v>43</v>
      </c>
      <c r="C261" s="205"/>
      <c r="D261" s="165" t="s">
        <v>42</v>
      </c>
      <c r="E261" s="205">
        <v>211</v>
      </c>
      <c r="F261" s="98">
        <v>303000</v>
      </c>
      <c r="G261" s="173">
        <v>336000</v>
      </c>
      <c r="H261" s="174">
        <f t="shared" si="52"/>
        <v>110.8910891089109</v>
      </c>
      <c r="I261" s="227" t="e">
        <f>F261/F306</f>
        <v>#REF!</v>
      </c>
      <c r="J261" s="46"/>
      <c r="K261" s="11">
        <v>0</v>
      </c>
      <c r="L261" s="11">
        <v>0</v>
      </c>
      <c r="M261" s="11">
        <v>399000</v>
      </c>
      <c r="N261" s="11">
        <v>0</v>
      </c>
      <c r="O261" s="11">
        <v>0</v>
      </c>
      <c r="P261" s="11">
        <v>114000</v>
      </c>
      <c r="Q261" s="9">
        <f t="shared" si="56"/>
        <v>0.004964889304526581</v>
      </c>
    </row>
    <row r="262" spans="1:17" ht="18" customHeight="1" hidden="1">
      <c r="A262" s="23" t="s">
        <v>395</v>
      </c>
      <c r="B262" s="177" t="s">
        <v>542</v>
      </c>
      <c r="C262" s="22" t="s">
        <v>74</v>
      </c>
      <c r="D262" s="22"/>
      <c r="E262" s="37"/>
      <c r="F262" s="8">
        <f>F263</f>
        <v>24000</v>
      </c>
      <c r="G262" s="175">
        <f>G263</f>
        <v>0</v>
      </c>
      <c r="H262" s="168">
        <f t="shared" si="52"/>
        <v>0</v>
      </c>
      <c r="I262" s="13" t="e">
        <f>F262/F306</f>
        <v>#REF!</v>
      </c>
      <c r="J262" s="202"/>
      <c r="K262" s="10">
        <f>K263</f>
        <v>0</v>
      </c>
      <c r="L262" s="10">
        <f>L263</f>
        <v>0</v>
      </c>
      <c r="M262" s="11">
        <f>M263</f>
        <v>0</v>
      </c>
      <c r="N262" s="11"/>
      <c r="O262" s="11"/>
      <c r="P262" s="11"/>
      <c r="Q262" s="9">
        <f t="shared" si="56"/>
        <v>0</v>
      </c>
    </row>
    <row r="263" spans="1:17" ht="21.75" customHeight="1" hidden="1">
      <c r="A263" s="28" t="s">
        <v>478</v>
      </c>
      <c r="B263" s="11" t="s">
        <v>77</v>
      </c>
      <c r="C263" s="37"/>
      <c r="D263" s="22" t="s">
        <v>76</v>
      </c>
      <c r="E263" s="37">
        <v>211</v>
      </c>
      <c r="F263" s="8">
        <v>24000</v>
      </c>
      <c r="G263" s="185">
        <v>0</v>
      </c>
      <c r="H263" s="174">
        <f t="shared" si="52"/>
        <v>0</v>
      </c>
      <c r="I263" s="9" t="e">
        <f>F263/F306</f>
        <v>#REF!</v>
      </c>
      <c r="J263" s="46"/>
      <c r="K263" s="11">
        <v>0</v>
      </c>
      <c r="L263" s="11">
        <v>0</v>
      </c>
      <c r="M263" s="11">
        <v>0</v>
      </c>
      <c r="N263" s="11"/>
      <c r="O263" s="11"/>
      <c r="P263" s="11"/>
      <c r="Q263" s="9">
        <f t="shared" si="56"/>
        <v>0</v>
      </c>
    </row>
    <row r="264" spans="1:17" ht="27.75" customHeight="1" hidden="1">
      <c r="A264" s="28" t="s">
        <v>518</v>
      </c>
      <c r="B264" s="14" t="s">
        <v>627</v>
      </c>
      <c r="C264" s="37"/>
      <c r="D264" s="22" t="s">
        <v>628</v>
      </c>
      <c r="E264" s="37">
        <v>211</v>
      </c>
      <c r="F264" s="8"/>
      <c r="G264" s="185"/>
      <c r="H264" s="174"/>
      <c r="I264" s="9"/>
      <c r="J264" s="46"/>
      <c r="K264" s="11"/>
      <c r="L264" s="11"/>
      <c r="M264" s="11">
        <v>6500</v>
      </c>
      <c r="N264" s="11">
        <v>0</v>
      </c>
      <c r="O264" s="11">
        <v>0</v>
      </c>
      <c r="P264" s="11">
        <v>0</v>
      </c>
      <c r="Q264" s="9">
        <f t="shared" si="56"/>
        <v>0</v>
      </c>
    </row>
    <row r="265" spans="1:17" ht="24.75" customHeight="1">
      <c r="A265" s="23">
        <v>2</v>
      </c>
      <c r="B265" s="178" t="s">
        <v>558</v>
      </c>
      <c r="C265" s="37">
        <v>700</v>
      </c>
      <c r="D265" s="37"/>
      <c r="E265" s="37"/>
      <c r="F265" s="8">
        <f>F266</f>
        <v>15000</v>
      </c>
      <c r="G265" s="175">
        <f>G266</f>
        <v>37000</v>
      </c>
      <c r="H265" s="168">
        <f t="shared" si="52"/>
        <v>246.66666666666669</v>
      </c>
      <c r="I265" s="13" t="e">
        <f>F265/F306</f>
        <v>#REF!</v>
      </c>
      <c r="J265" s="202"/>
      <c r="K265" s="10">
        <f aca="true" t="shared" si="57" ref="K265:P265">K266</f>
        <v>0</v>
      </c>
      <c r="L265" s="10">
        <f t="shared" si="57"/>
        <v>0</v>
      </c>
      <c r="M265" s="10">
        <f t="shared" si="57"/>
        <v>4000</v>
      </c>
      <c r="N265" s="10">
        <f t="shared" si="57"/>
        <v>0</v>
      </c>
      <c r="O265" s="10">
        <f t="shared" si="57"/>
        <v>0</v>
      </c>
      <c r="P265" s="252">
        <f t="shared" si="57"/>
        <v>22000</v>
      </c>
      <c r="Q265" s="9">
        <f t="shared" si="56"/>
        <v>0.0009581365324524981</v>
      </c>
    </row>
    <row r="266" spans="1:17" ht="25.5" customHeight="1">
      <c r="A266" s="28" t="s">
        <v>478</v>
      </c>
      <c r="B266" s="14" t="s">
        <v>559</v>
      </c>
      <c r="C266" s="37"/>
      <c r="D266" s="37">
        <v>70005</v>
      </c>
      <c r="E266" s="37">
        <v>211</v>
      </c>
      <c r="F266" s="8">
        <v>15000</v>
      </c>
      <c r="G266" s="176">
        <v>37000</v>
      </c>
      <c r="H266" s="174">
        <f t="shared" si="52"/>
        <v>246.66666666666669</v>
      </c>
      <c r="I266" s="9" t="e">
        <f>F266/F306</f>
        <v>#REF!</v>
      </c>
      <c r="J266" s="46"/>
      <c r="K266" s="11">
        <v>0</v>
      </c>
      <c r="L266" s="11">
        <v>0</v>
      </c>
      <c r="M266" s="11">
        <v>4000</v>
      </c>
      <c r="N266" s="11">
        <v>0</v>
      </c>
      <c r="O266" s="11">
        <v>0</v>
      </c>
      <c r="P266" s="11">
        <v>22000</v>
      </c>
      <c r="Q266" s="9">
        <f aca="true" t="shared" si="58" ref="Q266:Q312">P266/$P$306</f>
        <v>0.0009581365324524981</v>
      </c>
    </row>
    <row r="267" spans="1:17" ht="18" customHeight="1">
      <c r="A267" s="23">
        <v>3</v>
      </c>
      <c r="B267" s="7" t="s">
        <v>560</v>
      </c>
      <c r="C267" s="37">
        <v>710</v>
      </c>
      <c r="D267" s="37"/>
      <c r="E267" s="37"/>
      <c r="F267" s="8">
        <f>F268+F269+F270</f>
        <v>170602</v>
      </c>
      <c r="G267" s="175">
        <f>G268+G269+G270</f>
        <v>139020</v>
      </c>
      <c r="H267" s="168">
        <f t="shared" si="52"/>
        <v>81.48790752746157</v>
      </c>
      <c r="I267" s="13" t="e">
        <f>F267/F306</f>
        <v>#REF!</v>
      </c>
      <c r="J267" s="202"/>
      <c r="K267" s="10">
        <f aca="true" t="shared" si="59" ref="K267:P267">K268+K269+K270</f>
        <v>0</v>
      </c>
      <c r="L267" s="10">
        <f t="shared" si="59"/>
        <v>0</v>
      </c>
      <c r="M267" s="10">
        <f t="shared" si="59"/>
        <v>114563</v>
      </c>
      <c r="N267" s="10">
        <f t="shared" si="59"/>
        <v>0</v>
      </c>
      <c r="O267" s="10">
        <f t="shared" si="59"/>
        <v>0</v>
      </c>
      <c r="P267" s="252">
        <f t="shared" si="59"/>
        <v>137866</v>
      </c>
      <c r="Q267" s="9">
        <f t="shared" si="58"/>
        <v>0.006004293235595278</v>
      </c>
    </row>
    <row r="268" spans="1:17" ht="33.75" customHeight="1">
      <c r="A268" s="28" t="s">
        <v>478</v>
      </c>
      <c r="B268" s="14" t="s">
        <v>101</v>
      </c>
      <c r="C268" s="37"/>
      <c r="D268" s="37">
        <v>71013</v>
      </c>
      <c r="E268" s="37">
        <v>211</v>
      </c>
      <c r="F268" s="8">
        <v>79900</v>
      </c>
      <c r="G268" s="176">
        <v>52100</v>
      </c>
      <c r="H268" s="174">
        <f t="shared" si="52"/>
        <v>65.20650813516896</v>
      </c>
      <c r="I268" s="9" t="e">
        <f>F268/F306</f>
        <v>#REF!</v>
      </c>
      <c r="J268" s="46"/>
      <c r="K268" s="11">
        <v>0</v>
      </c>
      <c r="L268" s="11">
        <v>0</v>
      </c>
      <c r="M268" s="11">
        <v>35000</v>
      </c>
      <c r="N268" s="11">
        <v>0</v>
      </c>
      <c r="O268" s="11">
        <v>0</v>
      </c>
      <c r="P268" s="11">
        <v>52000</v>
      </c>
      <c r="Q268" s="9">
        <f t="shared" si="58"/>
        <v>0.0022646863494331774</v>
      </c>
    </row>
    <row r="269" spans="1:17" ht="27.75" customHeight="1">
      <c r="A269" s="28" t="s">
        <v>481</v>
      </c>
      <c r="B269" s="14" t="s">
        <v>103</v>
      </c>
      <c r="C269" s="37"/>
      <c r="D269" s="37">
        <v>71014</v>
      </c>
      <c r="E269" s="37">
        <v>211</v>
      </c>
      <c r="F269" s="8">
        <v>20000</v>
      </c>
      <c r="G269" s="176">
        <v>8000</v>
      </c>
      <c r="H269" s="174">
        <f t="shared" si="52"/>
        <v>40</v>
      </c>
      <c r="I269" s="9" t="e">
        <f>F269/F306</f>
        <v>#REF!</v>
      </c>
      <c r="J269" s="46"/>
      <c r="K269" s="11">
        <v>0</v>
      </c>
      <c r="L269" s="11">
        <v>0</v>
      </c>
      <c r="M269" s="11">
        <v>4000</v>
      </c>
      <c r="N269" s="11">
        <v>0</v>
      </c>
      <c r="O269" s="11">
        <v>0</v>
      </c>
      <c r="P269" s="11">
        <v>4000</v>
      </c>
      <c r="Q269" s="9">
        <f t="shared" si="58"/>
        <v>0.00017420664226409056</v>
      </c>
    </row>
    <row r="270" spans="1:17" ht="19.5" customHeight="1">
      <c r="A270" s="28" t="s">
        <v>518</v>
      </c>
      <c r="B270" s="14" t="s">
        <v>105</v>
      </c>
      <c r="C270" s="37"/>
      <c r="D270" s="37">
        <v>71015</v>
      </c>
      <c r="E270" s="37">
        <v>211</v>
      </c>
      <c r="F270" s="8">
        <v>70702</v>
      </c>
      <c r="G270" s="176">
        <v>78920</v>
      </c>
      <c r="H270" s="174">
        <f t="shared" si="52"/>
        <v>111.62343356623575</v>
      </c>
      <c r="I270" s="9" t="e">
        <f>F270/F306</f>
        <v>#REF!</v>
      </c>
      <c r="J270" s="46"/>
      <c r="K270" s="11">
        <v>0</v>
      </c>
      <c r="L270" s="11">
        <v>0</v>
      </c>
      <c r="M270" s="11">
        <v>75563</v>
      </c>
      <c r="N270" s="11">
        <v>0</v>
      </c>
      <c r="O270" s="11">
        <v>0</v>
      </c>
      <c r="P270" s="11">
        <v>81866</v>
      </c>
      <c r="Q270" s="9">
        <f t="shared" si="58"/>
        <v>0.0035654002438980097</v>
      </c>
    </row>
    <row r="271" spans="1:17" ht="19.5" customHeight="1">
      <c r="A271" s="23">
        <v>4</v>
      </c>
      <c r="B271" s="7" t="s">
        <v>498</v>
      </c>
      <c r="C271" s="37">
        <v>750</v>
      </c>
      <c r="D271" s="37"/>
      <c r="E271" s="87"/>
      <c r="F271" s="12">
        <f>F272+F273</f>
        <v>142453</v>
      </c>
      <c r="G271" s="175">
        <f>G272+G273</f>
        <v>144857</v>
      </c>
      <c r="H271" s="168">
        <f t="shared" si="52"/>
        <v>101.68757414726261</v>
      </c>
      <c r="I271" s="13" t="e">
        <f>F271/F306</f>
        <v>#REF!</v>
      </c>
      <c r="J271" s="202"/>
      <c r="K271" s="10">
        <f aca="true" t="shared" si="60" ref="K271:P271">K272+K273</f>
        <v>0</v>
      </c>
      <c r="L271" s="10">
        <f t="shared" si="60"/>
        <v>0</v>
      </c>
      <c r="M271" s="10">
        <f t="shared" si="60"/>
        <v>97055</v>
      </c>
      <c r="N271" s="10">
        <f t="shared" si="60"/>
        <v>0</v>
      </c>
      <c r="O271" s="10">
        <f t="shared" si="60"/>
        <v>0</v>
      </c>
      <c r="P271" s="252">
        <f t="shared" si="60"/>
        <v>103799</v>
      </c>
      <c r="Q271" s="9">
        <f t="shared" si="58"/>
        <v>0.004520618815092584</v>
      </c>
    </row>
    <row r="272" spans="1:17" ht="42" customHeight="1">
      <c r="A272" s="28" t="s">
        <v>478</v>
      </c>
      <c r="B272" s="14" t="s">
        <v>666</v>
      </c>
      <c r="C272" s="37"/>
      <c r="D272" s="37">
        <v>75011</v>
      </c>
      <c r="E272" s="37">
        <v>211</v>
      </c>
      <c r="F272" s="8">
        <v>120453</v>
      </c>
      <c r="G272" s="176">
        <v>120857</v>
      </c>
      <c r="H272" s="174">
        <f t="shared" si="52"/>
        <v>100.33540052966717</v>
      </c>
      <c r="I272" s="9" t="e">
        <f>F272/F306</f>
        <v>#REF!</v>
      </c>
      <c r="J272" s="46"/>
      <c r="K272" s="11">
        <v>0</v>
      </c>
      <c r="L272" s="11">
        <v>0</v>
      </c>
      <c r="M272" s="11">
        <v>86463</v>
      </c>
      <c r="N272" s="11">
        <v>0</v>
      </c>
      <c r="O272" s="11">
        <v>0</v>
      </c>
      <c r="P272" s="11">
        <v>89799</v>
      </c>
      <c r="Q272" s="9">
        <f t="shared" si="58"/>
        <v>0.003910895567168267</v>
      </c>
    </row>
    <row r="273" spans="1:17" ht="27.75" customHeight="1">
      <c r="A273" s="28" t="s">
        <v>481</v>
      </c>
      <c r="B273" s="14" t="s">
        <v>121</v>
      </c>
      <c r="C273" s="37"/>
      <c r="D273" s="37">
        <v>75045</v>
      </c>
      <c r="E273" s="37">
        <v>211</v>
      </c>
      <c r="F273" s="8">
        <v>22000</v>
      </c>
      <c r="G273" s="176">
        <v>24000</v>
      </c>
      <c r="H273" s="174">
        <f t="shared" si="52"/>
        <v>109.09090909090908</v>
      </c>
      <c r="I273" s="9" t="e">
        <f>F273/F306</f>
        <v>#REF!</v>
      </c>
      <c r="J273" s="46"/>
      <c r="K273" s="11">
        <v>0</v>
      </c>
      <c r="L273" s="11">
        <v>0</v>
      </c>
      <c r="M273" s="11">
        <v>10592</v>
      </c>
      <c r="N273" s="11">
        <v>0</v>
      </c>
      <c r="O273" s="11">
        <v>0</v>
      </c>
      <c r="P273" s="11">
        <v>14000</v>
      </c>
      <c r="Q273" s="9">
        <f t="shared" si="58"/>
        <v>0.000609723247924317</v>
      </c>
    </row>
    <row r="274" spans="1:17" ht="37.5" customHeight="1" hidden="1">
      <c r="A274" s="23" t="s">
        <v>403</v>
      </c>
      <c r="B274" s="7" t="s">
        <v>636</v>
      </c>
      <c r="C274" s="87">
        <v>751</v>
      </c>
      <c r="D274" s="87"/>
      <c r="E274" s="87"/>
      <c r="F274" s="12"/>
      <c r="G274" s="175"/>
      <c r="H274" s="168"/>
      <c r="I274" s="13"/>
      <c r="J274" s="202"/>
      <c r="K274" s="10"/>
      <c r="L274" s="10"/>
      <c r="M274" s="10">
        <f>M275</f>
        <v>13519</v>
      </c>
      <c r="N274" s="10">
        <f>N275</f>
        <v>0</v>
      </c>
      <c r="O274" s="10">
        <f>O275</f>
        <v>0</v>
      </c>
      <c r="P274" s="10">
        <f>P275</f>
        <v>0</v>
      </c>
      <c r="Q274" s="9">
        <f t="shared" si="58"/>
        <v>0</v>
      </c>
    </row>
    <row r="275" spans="1:17" ht="56.25" customHeight="1" hidden="1">
      <c r="A275" s="28" t="s">
        <v>478</v>
      </c>
      <c r="B275" s="14" t="s">
        <v>637</v>
      </c>
      <c r="C275" s="37"/>
      <c r="D275" s="37">
        <v>75109</v>
      </c>
      <c r="E275" s="37">
        <v>211</v>
      </c>
      <c r="F275" s="8"/>
      <c r="G275" s="176"/>
      <c r="H275" s="174"/>
      <c r="I275" s="9"/>
      <c r="J275" s="46"/>
      <c r="K275" s="11"/>
      <c r="L275" s="11"/>
      <c r="M275" s="11">
        <v>13519</v>
      </c>
      <c r="N275" s="11">
        <v>0</v>
      </c>
      <c r="O275" s="11">
        <v>0</v>
      </c>
      <c r="P275" s="11">
        <v>0</v>
      </c>
      <c r="Q275" s="9">
        <f t="shared" si="58"/>
        <v>0</v>
      </c>
    </row>
    <row r="276" spans="1:17" ht="24" customHeight="1">
      <c r="A276" s="23" t="s">
        <v>403</v>
      </c>
      <c r="B276" s="7" t="s">
        <v>503</v>
      </c>
      <c r="C276" s="37">
        <v>754</v>
      </c>
      <c r="D276" s="37"/>
      <c r="E276" s="37"/>
      <c r="F276" s="8">
        <f>F277+F278</f>
        <v>7342202</v>
      </c>
      <c r="G276" s="175">
        <f>G277+G278</f>
        <v>7977160</v>
      </c>
      <c r="H276" s="168">
        <f t="shared" si="52"/>
        <v>108.64805953309376</v>
      </c>
      <c r="I276" s="13" t="e">
        <f>F276/F306</f>
        <v>#REF!</v>
      </c>
      <c r="J276" s="202"/>
      <c r="K276" s="10">
        <f aca="true" t="shared" si="61" ref="K276:P276">K277+K278</f>
        <v>0</v>
      </c>
      <c r="L276" s="10">
        <f t="shared" si="61"/>
        <v>0</v>
      </c>
      <c r="M276" s="10">
        <f t="shared" si="61"/>
        <v>5218030</v>
      </c>
      <c r="N276" s="10">
        <f t="shared" si="61"/>
        <v>0</v>
      </c>
      <c r="O276" s="10">
        <f t="shared" si="61"/>
        <v>0</v>
      </c>
      <c r="P276" s="252">
        <f t="shared" si="61"/>
        <v>1803000</v>
      </c>
      <c r="Q276" s="9">
        <f t="shared" si="58"/>
        <v>0.07852364400053882</v>
      </c>
    </row>
    <row r="277" spans="1:17" ht="16.5" customHeight="1" hidden="1">
      <c r="A277" s="28" t="s">
        <v>478</v>
      </c>
      <c r="B277" s="14" t="s">
        <v>128</v>
      </c>
      <c r="C277" s="37"/>
      <c r="D277" s="37">
        <v>75405</v>
      </c>
      <c r="E277" s="37">
        <v>211</v>
      </c>
      <c r="F277" s="8">
        <v>4680178</v>
      </c>
      <c r="G277" s="176">
        <v>5102280</v>
      </c>
      <c r="H277" s="174">
        <f t="shared" si="52"/>
        <v>109.01893047657589</v>
      </c>
      <c r="I277" s="9" t="e">
        <f>F277/F306</f>
        <v>#REF!</v>
      </c>
      <c r="J277" s="46"/>
      <c r="K277" s="11">
        <v>0</v>
      </c>
      <c r="L277" s="11">
        <v>0</v>
      </c>
      <c r="M277" s="11">
        <v>3488030</v>
      </c>
      <c r="N277" s="11">
        <v>0</v>
      </c>
      <c r="O277" s="11">
        <v>0</v>
      </c>
      <c r="P277" s="11">
        <v>0</v>
      </c>
      <c r="Q277" s="9">
        <f t="shared" si="58"/>
        <v>0</v>
      </c>
    </row>
    <row r="278" spans="1:17" ht="25.5" customHeight="1">
      <c r="A278" s="28" t="s">
        <v>481</v>
      </c>
      <c r="B278" s="14" t="s">
        <v>352</v>
      </c>
      <c r="C278" s="37"/>
      <c r="D278" s="37">
        <v>75411</v>
      </c>
      <c r="E278" s="37">
        <v>211</v>
      </c>
      <c r="F278" s="8">
        <v>2662024</v>
      </c>
      <c r="G278" s="176">
        <v>2874880</v>
      </c>
      <c r="H278" s="174">
        <f t="shared" si="52"/>
        <v>107.99602107268755</v>
      </c>
      <c r="I278" s="9" t="e">
        <f>F278/F306</f>
        <v>#REF!</v>
      </c>
      <c r="J278" s="46"/>
      <c r="K278" s="11">
        <v>0</v>
      </c>
      <c r="L278" s="11">
        <v>0</v>
      </c>
      <c r="M278" s="24">
        <v>1730000</v>
      </c>
      <c r="N278" s="24">
        <v>0</v>
      </c>
      <c r="O278" s="24">
        <v>0</v>
      </c>
      <c r="P278" s="11">
        <v>1803000</v>
      </c>
      <c r="Q278" s="9">
        <f t="shared" si="58"/>
        <v>0.07852364400053882</v>
      </c>
    </row>
    <row r="279" spans="1:17" ht="17.25" customHeight="1">
      <c r="A279" s="23" t="s">
        <v>438</v>
      </c>
      <c r="B279" s="177" t="s">
        <v>561</v>
      </c>
      <c r="C279" s="37">
        <v>851</v>
      </c>
      <c r="D279" s="37"/>
      <c r="E279" s="37"/>
      <c r="F279" s="8">
        <f>F280</f>
        <v>1222573</v>
      </c>
      <c r="G279" s="175">
        <f>G280+G281</f>
        <v>3340880</v>
      </c>
      <c r="H279" s="168">
        <f t="shared" si="52"/>
        <v>273.26629984467183</v>
      </c>
      <c r="I279" s="13" t="e">
        <f>F279/F306</f>
        <v>#REF!</v>
      </c>
      <c r="J279" s="202"/>
      <c r="K279" s="10">
        <f>K280+K281</f>
        <v>0</v>
      </c>
      <c r="L279" s="10">
        <f>L280+L281</f>
        <v>0</v>
      </c>
      <c r="M279" s="10">
        <f>M280+M281</f>
        <v>567150</v>
      </c>
      <c r="N279" s="10">
        <f>N281</f>
        <v>0</v>
      </c>
      <c r="O279" s="10">
        <f>O281</f>
        <v>70165</v>
      </c>
      <c r="P279" s="252">
        <f>P281</f>
        <v>363000</v>
      </c>
      <c r="Q279" s="9">
        <f t="shared" si="58"/>
        <v>0.01580925278546622</v>
      </c>
    </row>
    <row r="280" spans="1:17" ht="16.5" customHeight="1" hidden="1">
      <c r="A280" s="28" t="s">
        <v>478</v>
      </c>
      <c r="B280" s="11" t="s">
        <v>235</v>
      </c>
      <c r="C280" s="37"/>
      <c r="D280" s="37">
        <v>85132</v>
      </c>
      <c r="E280" s="37">
        <v>211</v>
      </c>
      <c r="F280" s="8">
        <v>1222573</v>
      </c>
      <c r="G280" s="176">
        <v>1330000</v>
      </c>
      <c r="H280" s="174">
        <f t="shared" si="52"/>
        <v>108.78695996067312</v>
      </c>
      <c r="I280" s="9" t="e">
        <f>F280/F306</f>
        <v>#REF!</v>
      </c>
      <c r="J280" s="46"/>
      <c r="K280" s="11">
        <v>0</v>
      </c>
      <c r="L280" s="11">
        <v>0</v>
      </c>
      <c r="M280" s="11">
        <v>0</v>
      </c>
      <c r="N280" s="11"/>
      <c r="O280" s="11"/>
      <c r="P280" s="11"/>
      <c r="Q280" s="9">
        <f t="shared" si="58"/>
        <v>0</v>
      </c>
    </row>
    <row r="281" spans="1:17" ht="25.5" customHeight="1">
      <c r="A281" s="28" t="s">
        <v>478</v>
      </c>
      <c r="B281" s="14" t="s">
        <v>562</v>
      </c>
      <c r="C281" s="37"/>
      <c r="D281" s="37">
        <v>85156</v>
      </c>
      <c r="E281" s="37">
        <v>211</v>
      </c>
      <c r="F281" s="8"/>
      <c r="G281" s="176">
        <v>2010880</v>
      </c>
      <c r="H281" s="174"/>
      <c r="I281" s="9"/>
      <c r="J281" s="46"/>
      <c r="K281" s="11">
        <v>0</v>
      </c>
      <c r="L281" s="11">
        <v>0</v>
      </c>
      <c r="M281" s="11">
        <v>567150</v>
      </c>
      <c r="N281" s="11">
        <v>0</v>
      </c>
      <c r="O281" s="11">
        <v>70165</v>
      </c>
      <c r="P281" s="11">
        <v>363000</v>
      </c>
      <c r="Q281" s="9">
        <f t="shared" si="58"/>
        <v>0.01580925278546622</v>
      </c>
    </row>
    <row r="282" spans="1:17" ht="14.25" customHeight="1">
      <c r="A282" s="23" t="s">
        <v>440</v>
      </c>
      <c r="B282" s="177" t="s">
        <v>520</v>
      </c>
      <c r="C282" s="37">
        <v>853</v>
      </c>
      <c r="D282" s="37"/>
      <c r="E282" s="37"/>
      <c r="F282" s="151">
        <f>F283+F284+F287+F288+F289</f>
        <v>2214300</v>
      </c>
      <c r="G282" s="175">
        <f>G283+G284+G287+G288+G289</f>
        <v>863150</v>
      </c>
      <c r="H282" s="168">
        <f t="shared" si="52"/>
        <v>38.980716253443525</v>
      </c>
      <c r="I282" s="13" t="e">
        <f>F282/F306</f>
        <v>#REF!</v>
      </c>
      <c r="J282" s="202"/>
      <c r="K282" s="10">
        <f aca="true" t="shared" si="62" ref="K282:P282">K284+K287+K288+K289</f>
        <v>3043</v>
      </c>
      <c r="L282" s="10">
        <f t="shared" si="62"/>
        <v>0</v>
      </c>
      <c r="M282" s="10">
        <f t="shared" si="62"/>
        <v>524490</v>
      </c>
      <c r="N282" s="10">
        <f t="shared" si="62"/>
        <v>0</v>
      </c>
      <c r="O282" s="10">
        <f t="shared" si="62"/>
        <v>0</v>
      </c>
      <c r="P282" s="11">
        <f t="shared" si="62"/>
        <v>513261</v>
      </c>
      <c r="Q282" s="9">
        <f t="shared" si="58"/>
        <v>0.022353368853777346</v>
      </c>
    </row>
    <row r="283" spans="1:17" ht="22.5" customHeight="1" hidden="1">
      <c r="A283" s="92" t="s">
        <v>478</v>
      </c>
      <c r="B283" s="228" t="s">
        <v>366</v>
      </c>
      <c r="C283" s="229"/>
      <c r="D283" s="229">
        <v>85304</v>
      </c>
      <c r="E283" s="229">
        <v>211</v>
      </c>
      <c r="F283" s="230">
        <v>1338000</v>
      </c>
      <c r="G283" s="193">
        <v>0</v>
      </c>
      <c r="H283" s="232">
        <f t="shared" si="52"/>
        <v>0</v>
      </c>
      <c r="I283" s="231" t="e">
        <f>F283/F306</f>
        <v>#REF!</v>
      </c>
      <c r="J283" s="46"/>
      <c r="K283" s="110"/>
      <c r="L283" s="110"/>
      <c r="M283" s="110"/>
      <c r="N283" s="110"/>
      <c r="O283" s="110"/>
      <c r="P283" s="110"/>
      <c r="Q283" s="184">
        <f t="shared" si="58"/>
        <v>0</v>
      </c>
    </row>
    <row r="284" spans="1:17" ht="15.75" customHeight="1">
      <c r="A284" s="525" t="s">
        <v>478</v>
      </c>
      <c r="B284" s="110" t="s">
        <v>563</v>
      </c>
      <c r="C284" s="37"/>
      <c r="D284" s="37">
        <v>85316</v>
      </c>
      <c r="E284" s="37">
        <v>211</v>
      </c>
      <c r="F284" s="8">
        <v>102900</v>
      </c>
      <c r="G284" s="176">
        <v>120250</v>
      </c>
      <c r="H284" s="174">
        <f t="shared" si="52"/>
        <v>116.86103012633625</v>
      </c>
      <c r="I284" s="9" t="e">
        <f>F284/F306</f>
        <v>#REF!</v>
      </c>
      <c r="J284" s="11"/>
      <c r="K284" s="11">
        <v>0</v>
      </c>
      <c r="L284" s="11">
        <v>0</v>
      </c>
      <c r="M284" s="11">
        <v>59964</v>
      </c>
      <c r="N284" s="11">
        <v>0</v>
      </c>
      <c r="O284" s="11">
        <v>0</v>
      </c>
      <c r="P284" s="11">
        <v>43700</v>
      </c>
      <c r="Q284" s="9">
        <f t="shared" si="58"/>
        <v>0.0019032075667351895</v>
      </c>
    </row>
    <row r="285" spans="1:17" ht="12.75" customHeight="1" hidden="1">
      <c r="A285" s="526"/>
      <c r="B285" s="43" t="s">
        <v>667</v>
      </c>
      <c r="C285" s="233"/>
      <c r="D285" s="234"/>
      <c r="E285" s="234"/>
      <c r="F285" s="99"/>
      <c r="G285" s="235"/>
      <c r="H285" s="236">
        <f t="shared" si="52"/>
      </c>
      <c r="I285" s="237"/>
      <c r="J285" s="46"/>
      <c r="K285" s="149"/>
      <c r="L285" s="149"/>
      <c r="M285" s="149"/>
      <c r="N285" s="149"/>
      <c r="O285" s="149"/>
      <c r="P285" s="149"/>
      <c r="Q285" s="237"/>
    </row>
    <row r="286" spans="1:17" ht="12.75" customHeight="1" hidden="1">
      <c r="A286" s="511"/>
      <c r="B286" s="45" t="s">
        <v>668</v>
      </c>
      <c r="C286" s="238"/>
      <c r="D286" s="205"/>
      <c r="E286" s="205"/>
      <c r="F286" s="98"/>
      <c r="G286" s="239"/>
      <c r="H286" s="226">
        <f t="shared" si="52"/>
      </c>
      <c r="I286" s="227"/>
      <c r="J286" s="46"/>
      <c r="K286" s="115"/>
      <c r="L286" s="115"/>
      <c r="M286" s="115"/>
      <c r="N286" s="115"/>
      <c r="O286" s="115"/>
      <c r="P286" s="115"/>
      <c r="Q286" s="227"/>
    </row>
    <row r="287" spans="1:17" ht="14.25" customHeight="1">
      <c r="A287" s="55" t="s">
        <v>481</v>
      </c>
      <c r="B287" s="110" t="s">
        <v>564</v>
      </c>
      <c r="C287" s="234"/>
      <c r="D287" s="234">
        <v>85318</v>
      </c>
      <c r="E287" s="234">
        <v>211</v>
      </c>
      <c r="F287" s="99">
        <v>30400</v>
      </c>
      <c r="G287" s="235">
        <v>29500</v>
      </c>
      <c r="H287" s="226">
        <f t="shared" si="52"/>
        <v>97.03947368421053</v>
      </c>
      <c r="I287" s="237" t="e">
        <f>F284/F306</f>
        <v>#REF!</v>
      </c>
      <c r="J287" s="46"/>
      <c r="K287" s="45">
        <v>3043</v>
      </c>
      <c r="L287" s="45">
        <v>0</v>
      </c>
      <c r="M287" s="45">
        <v>27000</v>
      </c>
      <c r="N287" s="45">
        <v>0</v>
      </c>
      <c r="O287" s="45">
        <v>0</v>
      </c>
      <c r="P287" s="45">
        <v>26958</v>
      </c>
      <c r="Q287" s="227">
        <f t="shared" si="58"/>
        <v>0.0011740656655388384</v>
      </c>
    </row>
    <row r="288" spans="1:17" ht="15" customHeight="1">
      <c r="A288" s="28" t="s">
        <v>518</v>
      </c>
      <c r="B288" s="11" t="s">
        <v>565</v>
      </c>
      <c r="C288" s="37"/>
      <c r="D288" s="37">
        <v>85321</v>
      </c>
      <c r="E288" s="37">
        <v>211</v>
      </c>
      <c r="F288" s="11">
        <v>0</v>
      </c>
      <c r="G288" s="11">
        <v>23400</v>
      </c>
      <c r="H288" s="174">
        <f>IF(F288&gt;0,G288/F288*100,"")</f>
      </c>
      <c r="I288" s="11" t="e">
        <f>F288/F306</f>
        <v>#REF!</v>
      </c>
      <c r="J288" s="46"/>
      <c r="K288" s="11">
        <v>0</v>
      </c>
      <c r="L288" s="11">
        <v>0</v>
      </c>
      <c r="M288" s="11">
        <v>29626</v>
      </c>
      <c r="N288" s="11">
        <v>0</v>
      </c>
      <c r="O288" s="11">
        <v>0</v>
      </c>
      <c r="P288" s="11">
        <v>37238</v>
      </c>
      <c r="Q288" s="9">
        <f t="shared" si="58"/>
        <v>0.001621776736157551</v>
      </c>
    </row>
    <row r="289" spans="1:17" ht="15.75" customHeight="1">
      <c r="A289" s="240" t="s">
        <v>521</v>
      </c>
      <c r="B289" s="43" t="s">
        <v>278</v>
      </c>
      <c r="C289" s="234"/>
      <c r="D289" s="234">
        <v>85333</v>
      </c>
      <c r="E289" s="234">
        <v>211</v>
      </c>
      <c r="F289" s="99">
        <v>743000</v>
      </c>
      <c r="G289" s="235">
        <v>690000</v>
      </c>
      <c r="H289" s="232">
        <f>IF(F289&gt;0,G289/F289*100,"")</f>
        <v>92.86675639300135</v>
      </c>
      <c r="I289" s="237" t="e">
        <f>F289/F306</f>
        <v>#REF!</v>
      </c>
      <c r="J289" s="46"/>
      <c r="K289" s="110">
        <v>0</v>
      </c>
      <c r="L289" s="110">
        <v>0</v>
      </c>
      <c r="M289" s="110">
        <v>407900</v>
      </c>
      <c r="N289" s="110">
        <v>0</v>
      </c>
      <c r="O289" s="110">
        <v>0</v>
      </c>
      <c r="P289" s="11">
        <v>405365</v>
      </c>
      <c r="Q289" s="9">
        <f t="shared" si="58"/>
        <v>0.017654318885345768</v>
      </c>
    </row>
    <row r="290" spans="1:17" ht="63.75" customHeight="1" hidden="1">
      <c r="A290" s="23" t="s">
        <v>743</v>
      </c>
      <c r="B290" s="7" t="s">
        <v>567</v>
      </c>
      <c r="C290" s="87"/>
      <c r="D290" s="87"/>
      <c r="E290" s="87"/>
      <c r="F290" s="12"/>
      <c r="G290" s="175">
        <f>G291+G294</f>
        <v>251000</v>
      </c>
      <c r="H290" s="168"/>
      <c r="I290" s="13"/>
      <c r="J290" s="10"/>
      <c r="K290" s="10">
        <f aca="true" t="shared" si="63" ref="K290:P290">K291+K294</f>
        <v>0</v>
      </c>
      <c r="L290" s="10">
        <f t="shared" si="63"/>
        <v>0</v>
      </c>
      <c r="M290" s="10">
        <f t="shared" si="63"/>
        <v>100000</v>
      </c>
      <c r="N290" s="10">
        <f t="shared" si="63"/>
        <v>0</v>
      </c>
      <c r="O290" s="10">
        <f t="shared" si="63"/>
        <v>0</v>
      </c>
      <c r="P290" s="252">
        <f t="shared" si="63"/>
        <v>0</v>
      </c>
      <c r="Q290" s="9">
        <f t="shared" si="58"/>
        <v>0</v>
      </c>
    </row>
    <row r="291" spans="1:17" ht="15.75" customHeight="1" hidden="1">
      <c r="A291" s="23">
        <v>1</v>
      </c>
      <c r="B291" s="7" t="s">
        <v>520</v>
      </c>
      <c r="C291" s="87">
        <v>853</v>
      </c>
      <c r="D291" s="87"/>
      <c r="E291" s="87"/>
      <c r="F291" s="12"/>
      <c r="G291" s="175">
        <f>G292</f>
        <v>191000</v>
      </c>
      <c r="H291" s="168"/>
      <c r="I291" s="13"/>
      <c r="J291" s="10"/>
      <c r="K291" s="10">
        <f aca="true" t="shared" si="64" ref="K291:M292">K292</f>
        <v>0</v>
      </c>
      <c r="L291" s="10">
        <f t="shared" si="64"/>
        <v>0</v>
      </c>
      <c r="M291" s="10">
        <f t="shared" si="64"/>
        <v>100000</v>
      </c>
      <c r="N291" s="10">
        <f aca="true" t="shared" si="65" ref="N291:P292">N292</f>
        <v>0</v>
      </c>
      <c r="O291" s="10">
        <f t="shared" si="65"/>
        <v>0</v>
      </c>
      <c r="P291" s="252">
        <f t="shared" si="65"/>
        <v>0</v>
      </c>
      <c r="Q291" s="9">
        <f t="shared" si="58"/>
        <v>0</v>
      </c>
    </row>
    <row r="292" spans="1:17" ht="25.5" customHeight="1" hidden="1">
      <c r="A292" s="92" t="s">
        <v>478</v>
      </c>
      <c r="B292" s="241" t="s">
        <v>568</v>
      </c>
      <c r="C292" s="242"/>
      <c r="D292" s="188">
        <v>85324</v>
      </c>
      <c r="E292" s="188"/>
      <c r="F292" s="266"/>
      <c r="G292" s="263">
        <f>G293</f>
        <v>191000</v>
      </c>
      <c r="H292" s="267"/>
      <c r="I292" s="268"/>
      <c r="J292" s="198"/>
      <c r="K292" s="150">
        <f t="shared" si="64"/>
        <v>0</v>
      </c>
      <c r="L292" s="150">
        <f t="shared" si="64"/>
        <v>0</v>
      </c>
      <c r="M292" s="10">
        <f t="shared" si="64"/>
        <v>100000</v>
      </c>
      <c r="N292" s="10">
        <f t="shared" si="65"/>
        <v>0</v>
      </c>
      <c r="O292" s="10">
        <f t="shared" si="65"/>
        <v>0</v>
      </c>
      <c r="P292" s="252">
        <f t="shared" si="65"/>
        <v>0</v>
      </c>
      <c r="Q292" s="9">
        <f t="shared" si="58"/>
        <v>0</v>
      </c>
    </row>
    <row r="293" spans="1:17" ht="36.75" customHeight="1" hidden="1">
      <c r="A293" s="23"/>
      <c r="B293" s="33" t="s">
        <v>569</v>
      </c>
      <c r="C293" s="26"/>
      <c r="D293" s="26"/>
      <c r="E293" s="26">
        <v>626</v>
      </c>
      <c r="F293" s="151"/>
      <c r="G293" s="185">
        <v>191000</v>
      </c>
      <c r="H293" s="186"/>
      <c r="I293" s="187"/>
      <c r="J293" s="24"/>
      <c r="K293" s="24">
        <v>0</v>
      </c>
      <c r="L293" s="24">
        <v>0</v>
      </c>
      <c r="M293" s="11">
        <v>100000</v>
      </c>
      <c r="N293" s="11">
        <v>0</v>
      </c>
      <c r="O293" s="11">
        <v>0</v>
      </c>
      <c r="P293" s="11">
        <v>0</v>
      </c>
      <c r="Q293" s="9">
        <f t="shared" si="58"/>
        <v>0</v>
      </c>
    </row>
    <row r="294" spans="1:17" ht="24.75" customHeight="1" hidden="1">
      <c r="A294" s="23" t="s">
        <v>395</v>
      </c>
      <c r="B294" s="7" t="s">
        <v>570</v>
      </c>
      <c r="C294" s="87">
        <v>900</v>
      </c>
      <c r="D294" s="87"/>
      <c r="E294" s="87"/>
      <c r="F294" s="12"/>
      <c r="G294" s="175">
        <f>G295</f>
        <v>60000</v>
      </c>
      <c r="H294" s="168"/>
      <c r="I294" s="13"/>
      <c r="J294" s="10"/>
      <c r="K294" s="10">
        <f aca="true" t="shared" si="66" ref="K294:M295">K295</f>
        <v>0</v>
      </c>
      <c r="L294" s="10">
        <f t="shared" si="66"/>
        <v>0</v>
      </c>
      <c r="M294" s="10">
        <f t="shared" si="66"/>
        <v>0</v>
      </c>
      <c r="N294" s="10">
        <f aca="true" t="shared" si="67" ref="N294:P295">N295</f>
        <v>0</v>
      </c>
      <c r="O294" s="10">
        <f t="shared" si="67"/>
        <v>0</v>
      </c>
      <c r="P294" s="252">
        <f t="shared" si="67"/>
        <v>0</v>
      </c>
      <c r="Q294" s="9">
        <f t="shared" si="58"/>
        <v>0</v>
      </c>
    </row>
    <row r="295" spans="1:17" ht="24.75" customHeight="1" hidden="1">
      <c r="A295" s="61" t="s">
        <v>478</v>
      </c>
      <c r="B295" s="243" t="s">
        <v>571</v>
      </c>
      <c r="C295" s="208"/>
      <c r="D295" s="200">
        <v>90011</v>
      </c>
      <c r="E295" s="200"/>
      <c r="F295" s="201"/>
      <c r="G295" s="171">
        <f>G296</f>
        <v>60000</v>
      </c>
      <c r="H295" s="269"/>
      <c r="I295" s="169"/>
      <c r="J295" s="202"/>
      <c r="K295" s="60">
        <f t="shared" si="66"/>
        <v>0</v>
      </c>
      <c r="L295" s="60">
        <f t="shared" si="66"/>
        <v>0</v>
      </c>
      <c r="M295" s="10">
        <f t="shared" si="66"/>
        <v>0</v>
      </c>
      <c r="N295" s="10">
        <f t="shared" si="67"/>
        <v>0</v>
      </c>
      <c r="O295" s="10">
        <f t="shared" si="67"/>
        <v>0</v>
      </c>
      <c r="P295" s="252">
        <f t="shared" si="67"/>
        <v>0</v>
      </c>
      <c r="Q295" s="9">
        <f t="shared" si="58"/>
        <v>0</v>
      </c>
    </row>
    <row r="296" spans="1:17" ht="36" customHeight="1" hidden="1">
      <c r="A296" s="61"/>
      <c r="B296" s="243" t="s">
        <v>569</v>
      </c>
      <c r="C296" s="208"/>
      <c r="D296" s="209"/>
      <c r="E296" s="209">
        <v>626</v>
      </c>
      <c r="F296" s="210"/>
      <c r="G296" s="173">
        <v>60000</v>
      </c>
      <c r="H296" s="186"/>
      <c r="I296" s="211"/>
      <c r="J296" s="212"/>
      <c r="K296" s="24">
        <v>0</v>
      </c>
      <c r="L296" s="24">
        <v>0</v>
      </c>
      <c r="M296" s="11">
        <v>0</v>
      </c>
      <c r="N296" s="11">
        <v>0</v>
      </c>
      <c r="O296" s="11">
        <v>0</v>
      </c>
      <c r="P296" s="11">
        <v>0</v>
      </c>
      <c r="Q296" s="9">
        <f t="shared" si="58"/>
        <v>0</v>
      </c>
    </row>
    <row r="297" spans="1:17" ht="37.5" customHeight="1" hidden="1">
      <c r="A297" s="61" t="s">
        <v>566</v>
      </c>
      <c r="B297" s="244" t="s">
        <v>572</v>
      </c>
      <c r="C297" s="204"/>
      <c r="D297" s="200"/>
      <c r="E297" s="200"/>
      <c r="F297" s="201"/>
      <c r="G297" s="171">
        <f>G300</f>
        <v>71700</v>
      </c>
      <c r="H297" s="168"/>
      <c r="I297" s="169"/>
      <c r="J297" s="202"/>
      <c r="K297" s="10">
        <f>K300</f>
        <v>0</v>
      </c>
      <c r="L297" s="10">
        <f>L300</f>
        <v>0</v>
      </c>
      <c r="M297" s="10">
        <f>M300+M298</f>
        <v>52720</v>
      </c>
      <c r="N297" s="10">
        <f>N300+N298</f>
        <v>6000</v>
      </c>
      <c r="O297" s="10">
        <f>O300+O298</f>
        <v>0</v>
      </c>
      <c r="P297" s="10">
        <f>P300+P298</f>
        <v>0</v>
      </c>
      <c r="Q297" s="9">
        <f t="shared" si="58"/>
        <v>0</v>
      </c>
    </row>
    <row r="298" spans="1:17" ht="30.75" customHeight="1" hidden="1">
      <c r="A298" s="61">
        <v>1</v>
      </c>
      <c r="B298" s="33" t="s">
        <v>568</v>
      </c>
      <c r="C298" s="204">
        <v>853</v>
      </c>
      <c r="D298" s="200">
        <v>85324</v>
      </c>
      <c r="E298" s="200"/>
      <c r="F298" s="201"/>
      <c r="G298" s="171"/>
      <c r="H298" s="168"/>
      <c r="I298" s="169"/>
      <c r="J298" s="202"/>
      <c r="K298" s="10"/>
      <c r="L298" s="10"/>
      <c r="M298" s="24">
        <f>M299</f>
        <v>4000</v>
      </c>
      <c r="N298" s="24">
        <f>N299</f>
        <v>6000</v>
      </c>
      <c r="O298" s="24">
        <f>O299</f>
        <v>0</v>
      </c>
      <c r="P298" s="24">
        <f>P299</f>
        <v>0</v>
      </c>
      <c r="Q298" s="9">
        <f t="shared" si="58"/>
        <v>0</v>
      </c>
    </row>
    <row r="299" spans="1:17" ht="21.75" customHeight="1" hidden="1">
      <c r="A299" s="61"/>
      <c r="B299" s="243" t="s">
        <v>574</v>
      </c>
      <c r="C299" s="204"/>
      <c r="D299" s="209"/>
      <c r="E299" s="209">
        <v>244</v>
      </c>
      <c r="F299" s="210"/>
      <c r="G299" s="173"/>
      <c r="H299" s="186"/>
      <c r="I299" s="211"/>
      <c r="J299" s="212"/>
      <c r="K299" s="24"/>
      <c r="L299" s="24"/>
      <c r="M299" s="24">
        <v>4000</v>
      </c>
      <c r="N299" s="24">
        <v>6000</v>
      </c>
      <c r="O299" s="24">
        <v>0</v>
      </c>
      <c r="P299" s="11">
        <v>0</v>
      </c>
      <c r="Q299" s="9">
        <f t="shared" si="58"/>
        <v>0</v>
      </c>
    </row>
    <row r="300" spans="1:17" ht="15" customHeight="1" hidden="1">
      <c r="A300" s="61" t="s">
        <v>395</v>
      </c>
      <c r="B300" s="243" t="s">
        <v>573</v>
      </c>
      <c r="C300" s="204">
        <v>900</v>
      </c>
      <c r="D300" s="200">
        <v>90011</v>
      </c>
      <c r="E300" s="200"/>
      <c r="F300" s="201"/>
      <c r="G300" s="171">
        <f>G301</f>
        <v>71700</v>
      </c>
      <c r="H300" s="168"/>
      <c r="I300" s="169"/>
      <c r="J300" s="202"/>
      <c r="K300" s="10">
        <f aca="true" t="shared" si="68" ref="K300:P300">K301</f>
        <v>0</v>
      </c>
      <c r="L300" s="10">
        <f t="shared" si="68"/>
        <v>0</v>
      </c>
      <c r="M300" s="10">
        <f t="shared" si="68"/>
        <v>48720</v>
      </c>
      <c r="N300" s="10">
        <f t="shared" si="68"/>
        <v>0</v>
      </c>
      <c r="O300" s="10">
        <f t="shared" si="68"/>
        <v>0</v>
      </c>
      <c r="P300" s="252">
        <f t="shared" si="68"/>
        <v>0</v>
      </c>
      <c r="Q300" s="9">
        <f t="shared" si="58"/>
        <v>0</v>
      </c>
    </row>
    <row r="301" spans="1:17" ht="18" customHeight="1" hidden="1">
      <c r="A301" s="61"/>
      <c r="B301" s="243" t="s">
        <v>574</v>
      </c>
      <c r="C301" s="208"/>
      <c r="D301" s="209"/>
      <c r="E301" s="209">
        <v>244</v>
      </c>
      <c r="F301" s="210"/>
      <c r="G301" s="173">
        <v>71700</v>
      </c>
      <c r="H301" s="186"/>
      <c r="I301" s="211"/>
      <c r="J301" s="212"/>
      <c r="K301" s="24">
        <v>0</v>
      </c>
      <c r="L301" s="24">
        <v>0</v>
      </c>
      <c r="M301" s="11">
        <v>48720</v>
      </c>
      <c r="N301" s="11">
        <v>0</v>
      </c>
      <c r="O301" s="11">
        <v>0</v>
      </c>
      <c r="P301" s="11">
        <v>0</v>
      </c>
      <c r="Q301" s="9">
        <f t="shared" si="58"/>
        <v>0</v>
      </c>
    </row>
    <row r="302" spans="1:17" ht="18" customHeight="1">
      <c r="A302" s="23" t="s">
        <v>743</v>
      </c>
      <c r="B302" s="245" t="s">
        <v>575</v>
      </c>
      <c r="C302" s="246"/>
      <c r="D302" s="87"/>
      <c r="E302" s="87"/>
      <c r="F302" s="222">
        <f>F303+F304+F305</f>
        <v>18256353</v>
      </c>
      <c r="G302" s="175">
        <f>G303+G304+G305</f>
        <v>19845254</v>
      </c>
      <c r="H302" s="174">
        <f aca="true" t="shared" si="69" ref="H302:H309">IF(F302&gt;0,G302/F302*100,"")</f>
        <v>108.7032771550813</v>
      </c>
      <c r="I302" s="223" t="e">
        <f>F302/F306</f>
        <v>#REF!</v>
      </c>
      <c r="J302" s="46"/>
      <c r="K302" s="10">
        <f aca="true" t="shared" si="70" ref="K302:P302">K303+K304+K305</f>
        <v>0</v>
      </c>
      <c r="L302" s="10">
        <f t="shared" si="70"/>
        <v>0</v>
      </c>
      <c r="M302" s="252">
        <f t="shared" si="70"/>
        <v>12637777</v>
      </c>
      <c r="N302" s="252">
        <f t="shared" si="70"/>
        <v>77228</v>
      </c>
      <c r="O302" s="252">
        <f t="shared" si="70"/>
        <v>0</v>
      </c>
      <c r="P302" s="252">
        <f t="shared" si="70"/>
        <v>13888675</v>
      </c>
      <c r="Q302" s="9">
        <f t="shared" si="58"/>
        <v>0.6048748593118045</v>
      </c>
    </row>
    <row r="303" spans="1:17" ht="24" customHeight="1">
      <c r="A303" s="64" t="s">
        <v>478</v>
      </c>
      <c r="B303" s="63" t="s">
        <v>576</v>
      </c>
      <c r="C303" s="37">
        <v>758</v>
      </c>
      <c r="D303" s="37">
        <v>75801</v>
      </c>
      <c r="E303" s="22" t="s">
        <v>577</v>
      </c>
      <c r="F303" s="8">
        <v>14303852</v>
      </c>
      <c r="G303" s="239">
        <v>15307838</v>
      </c>
      <c r="H303" s="174">
        <f t="shared" si="69"/>
        <v>107.0189904090171</v>
      </c>
      <c r="I303" s="9" t="e">
        <f>F303/F306</f>
        <v>#REF!</v>
      </c>
      <c r="J303" s="46"/>
      <c r="K303" s="11">
        <v>0</v>
      </c>
      <c r="L303" s="11">
        <v>0</v>
      </c>
      <c r="M303" s="253">
        <v>9810952</v>
      </c>
      <c r="N303" s="253">
        <v>77228</v>
      </c>
      <c r="O303" s="253">
        <v>0</v>
      </c>
      <c r="P303" s="11">
        <v>11077859</v>
      </c>
      <c r="Q303" s="9">
        <f t="shared" si="58"/>
        <v>0.482459154966259</v>
      </c>
    </row>
    <row r="304" spans="1:17" ht="23.25" customHeight="1">
      <c r="A304" s="28" t="s">
        <v>481</v>
      </c>
      <c r="B304" s="14" t="s">
        <v>578</v>
      </c>
      <c r="C304" s="37">
        <v>758</v>
      </c>
      <c r="D304" s="37">
        <v>75803</v>
      </c>
      <c r="E304" s="22" t="s">
        <v>577</v>
      </c>
      <c r="F304" s="8">
        <v>857613</v>
      </c>
      <c r="G304" s="176">
        <v>912417</v>
      </c>
      <c r="H304" s="174">
        <f t="shared" si="69"/>
        <v>106.39029492323459</v>
      </c>
      <c r="I304" s="9" t="e">
        <f>F304/F306</f>
        <v>#REF!</v>
      </c>
      <c r="J304" s="46"/>
      <c r="K304" s="11">
        <v>0</v>
      </c>
      <c r="L304" s="11">
        <v>0</v>
      </c>
      <c r="M304" s="253">
        <v>531382</v>
      </c>
      <c r="N304" s="253">
        <v>0</v>
      </c>
      <c r="O304" s="253">
        <v>0</v>
      </c>
      <c r="P304" s="11">
        <v>543491</v>
      </c>
      <c r="Q304" s="9">
        <f t="shared" si="58"/>
        <v>0.02366993555268821</v>
      </c>
    </row>
    <row r="305" spans="1:17" ht="23.25" customHeight="1">
      <c r="A305" s="55" t="s">
        <v>518</v>
      </c>
      <c r="B305" s="118" t="s">
        <v>579</v>
      </c>
      <c r="C305" s="181">
        <v>758</v>
      </c>
      <c r="D305" s="181">
        <v>75806</v>
      </c>
      <c r="E305" s="182" t="s">
        <v>577</v>
      </c>
      <c r="F305" s="148">
        <v>3094888</v>
      </c>
      <c r="G305" s="183">
        <v>3624999</v>
      </c>
      <c r="H305" s="174">
        <f t="shared" si="69"/>
        <v>117.12860045339282</v>
      </c>
      <c r="I305" s="184" t="e">
        <f>F305/F306</f>
        <v>#REF!</v>
      </c>
      <c r="J305" s="46"/>
      <c r="K305" s="11">
        <v>0</v>
      </c>
      <c r="L305" s="11">
        <v>0</v>
      </c>
      <c r="M305" s="253">
        <v>2295443</v>
      </c>
      <c r="N305" s="253">
        <v>0</v>
      </c>
      <c r="O305" s="253">
        <v>0</v>
      </c>
      <c r="P305" s="11">
        <v>2267325</v>
      </c>
      <c r="Q305" s="9">
        <f t="shared" si="58"/>
        <v>0.09874576879285728</v>
      </c>
    </row>
    <row r="306" spans="1:17" ht="18.75" customHeight="1">
      <c r="A306" s="11"/>
      <c r="B306" s="247" t="s">
        <v>580</v>
      </c>
      <c r="C306" s="142"/>
      <c r="D306" s="142"/>
      <c r="E306" s="146"/>
      <c r="F306" s="248" t="e">
        <f>F17+F133+F163+F226+F230+F239+F258+F302</f>
        <v>#REF!</v>
      </c>
      <c r="G306" s="249" t="e">
        <f>G17+G125+G133+G142+G163+G226+G230+G239+G258+G302+G290+G297</f>
        <v>#REF!</v>
      </c>
      <c r="H306" s="168" t="e">
        <f t="shared" si="69"/>
        <v>#REF!</v>
      </c>
      <c r="I306" s="13" t="e">
        <f>F306/F306</f>
        <v>#REF!</v>
      </c>
      <c r="J306" s="202"/>
      <c r="K306" s="10" t="e">
        <f>K17+K125+K133+K142+K163+K258+K302+K290+K297</f>
        <v>#REF!</v>
      </c>
      <c r="L306" s="10" t="e">
        <f>L17+L125+L133+L142+L163+L258++L302+L290+L297</f>
        <v>#REF!</v>
      </c>
      <c r="M306" s="252" t="e">
        <f>M17+M125+M133+M142+M163+M258+M290+M297+M302+#REF!+#REF!</f>
        <v>#REF!</v>
      </c>
      <c r="N306" s="252" t="e">
        <f>N17+N125+N133+N142+#REF!+#REF!+N163+N258+N290+N297+N302</f>
        <v>#REF!</v>
      </c>
      <c r="O306" s="252" t="e">
        <f>O17+O125+O133+O142+#REF!+#REF!+O163+O258+O290+O297+O302</f>
        <v>#REF!</v>
      </c>
      <c r="P306" s="252">
        <f>P17+P125+P133+P142+P163+P258+P290+P297+P302+P159+P148+P152</f>
        <v>22961237</v>
      </c>
      <c r="Q306" s="9">
        <f t="shared" si="58"/>
        <v>1</v>
      </c>
    </row>
    <row r="307" spans="1:17" ht="14.25" customHeight="1">
      <c r="A307" s="11"/>
      <c r="B307" s="115" t="s">
        <v>581</v>
      </c>
      <c r="C307" s="137"/>
      <c r="D307" s="137"/>
      <c r="E307" s="250"/>
      <c r="F307" s="8">
        <f>F133+F163+F226+F230+F239+F258</f>
        <v>18009965</v>
      </c>
      <c r="G307" s="176" t="e">
        <f>G133+G142+G163+G258+G290+G297</f>
        <v>#REF!</v>
      </c>
      <c r="H307" s="174" t="e">
        <f t="shared" si="69"/>
        <v>#REF!</v>
      </c>
      <c r="I307" s="9" t="e">
        <f>F307/F306</f>
        <v>#REF!</v>
      </c>
      <c r="J307" s="46"/>
      <c r="K307" s="11" t="e">
        <f>K133+K142+K163+K258+K290+K297</f>
        <v>#REF!</v>
      </c>
      <c r="L307" s="11" t="e">
        <f>L133+L142+L163+L258+L290+L297</f>
        <v>#REF!</v>
      </c>
      <c r="M307" s="253" t="e">
        <f>M133+M142+M163+M258+M290+M297+#REF!+#REF!+M125</f>
        <v>#REF!</v>
      </c>
      <c r="N307" s="253" t="e">
        <f>N133+N142+N163+N258+N290+N297+#REF!+#REF!+N125</f>
        <v>#REF!</v>
      </c>
      <c r="O307" s="253" t="e">
        <f>O133+O142+O163+O258+O290+O297+#REF!+#REF!+O125</f>
        <v>#REF!</v>
      </c>
      <c r="P307" s="253">
        <f>P148+P163+P258+P125+P159+P152</f>
        <v>7087157</v>
      </c>
      <c r="Q307" s="9">
        <f t="shared" si="58"/>
        <v>0.3086574560421113</v>
      </c>
    </row>
    <row r="308" spans="1:17" ht="16.5" customHeight="1">
      <c r="A308" s="11"/>
      <c r="B308" s="251" t="s">
        <v>582</v>
      </c>
      <c r="C308" s="142"/>
      <c r="D308" s="142"/>
      <c r="E308" s="146"/>
      <c r="F308" s="8">
        <f>F163+F226</f>
        <v>4984505</v>
      </c>
      <c r="G308" s="176" t="e">
        <f>G163+G226</f>
        <v>#REF!</v>
      </c>
      <c r="H308" s="174" t="e">
        <f t="shared" si="69"/>
        <v>#REF!</v>
      </c>
      <c r="I308" s="9" t="e">
        <f>F308/F306</f>
        <v>#REF!</v>
      </c>
      <c r="J308" s="46"/>
      <c r="K308" s="11" t="e">
        <f aca="true" t="shared" si="71" ref="K308:P308">K163</f>
        <v>#REF!</v>
      </c>
      <c r="L308" s="11" t="e">
        <f t="shared" si="71"/>
        <v>#REF!</v>
      </c>
      <c r="M308" s="253" t="e">
        <f t="shared" si="71"/>
        <v>#REF!</v>
      </c>
      <c r="N308" s="253" t="e">
        <f>N163</f>
        <v>#REF!</v>
      </c>
      <c r="O308" s="253" t="e">
        <f t="shared" si="71"/>
        <v>#REF!</v>
      </c>
      <c r="P308" s="253">
        <f t="shared" si="71"/>
        <v>1862941</v>
      </c>
      <c r="Q308" s="9">
        <f t="shared" si="58"/>
        <v>0.08113417408652679</v>
      </c>
    </row>
    <row r="309" spans="1:17" ht="16.5" customHeight="1">
      <c r="A309" s="11"/>
      <c r="B309" s="251" t="s">
        <v>583</v>
      </c>
      <c r="C309" s="142"/>
      <c r="D309" s="142"/>
      <c r="E309" s="146"/>
      <c r="F309" s="8">
        <f>F258</f>
        <v>11434130</v>
      </c>
      <c r="G309" s="176">
        <f>G258</f>
        <v>12875467</v>
      </c>
      <c r="H309" s="174">
        <f t="shared" si="69"/>
        <v>112.60556771700165</v>
      </c>
      <c r="I309" s="9" t="e">
        <f>F309/F306</f>
        <v>#REF!</v>
      </c>
      <c r="J309" s="46"/>
      <c r="K309" s="11">
        <f aca="true" t="shared" si="72" ref="K309:P309">K258</f>
        <v>3043</v>
      </c>
      <c r="L309" s="11">
        <f t="shared" si="72"/>
        <v>0</v>
      </c>
      <c r="M309" s="253">
        <f t="shared" si="72"/>
        <v>6988307</v>
      </c>
      <c r="N309" s="253">
        <f t="shared" si="72"/>
        <v>0</v>
      </c>
      <c r="O309" s="253">
        <f t="shared" si="72"/>
        <v>70165</v>
      </c>
      <c r="P309" s="253">
        <f t="shared" si="72"/>
        <v>3101926</v>
      </c>
      <c r="Q309" s="9">
        <f t="shared" si="58"/>
        <v>0.13509402825292036</v>
      </c>
    </row>
    <row r="310" spans="1:17" ht="16.5" customHeight="1" hidden="1">
      <c r="A310" s="11"/>
      <c r="B310" s="251" t="s">
        <v>584</v>
      </c>
      <c r="C310" s="142"/>
      <c r="D310" s="142"/>
      <c r="E310" s="146"/>
      <c r="F310" s="8"/>
      <c r="G310" s="176">
        <f>G290+G297</f>
        <v>322700</v>
      </c>
      <c r="H310" s="174"/>
      <c r="I310" s="9"/>
      <c r="J310" s="46"/>
      <c r="K310" s="11">
        <f aca="true" t="shared" si="73" ref="K310:P310">K290+K297</f>
        <v>0</v>
      </c>
      <c r="L310" s="11">
        <f t="shared" si="73"/>
        <v>0</v>
      </c>
      <c r="M310" s="253">
        <f t="shared" si="73"/>
        <v>152720</v>
      </c>
      <c r="N310" s="253">
        <f t="shared" si="73"/>
        <v>6000</v>
      </c>
      <c r="O310" s="253">
        <f t="shared" si="73"/>
        <v>0</v>
      </c>
      <c r="P310" s="253">
        <f t="shared" si="73"/>
        <v>0</v>
      </c>
      <c r="Q310" s="9">
        <f t="shared" si="58"/>
        <v>0</v>
      </c>
    </row>
    <row r="311" spans="1:17" ht="29.25" customHeight="1">
      <c r="A311" s="110"/>
      <c r="B311" s="520" t="s">
        <v>804</v>
      </c>
      <c r="C311" s="521"/>
      <c r="D311" s="521"/>
      <c r="E311" s="522"/>
      <c r="F311" s="148">
        <f>F133+F230+F239</f>
        <v>1591330</v>
      </c>
      <c r="G311" s="183">
        <f>G133+G142</f>
        <v>78010</v>
      </c>
      <c r="H311" s="232">
        <f>IF(F311&gt;0,G311/F311*100,"")</f>
        <v>4.902188735208914</v>
      </c>
      <c r="I311" s="184" t="e">
        <f>F311/F306</f>
        <v>#REF!</v>
      </c>
      <c r="J311" s="46"/>
      <c r="K311" s="110">
        <f>K133+K142</f>
        <v>200000</v>
      </c>
      <c r="L311" s="110">
        <f>L133+L142</f>
        <v>0</v>
      </c>
      <c r="M311" s="254" t="e">
        <f>M133+M142+#REF!+#REF!</f>
        <v>#REF!</v>
      </c>
      <c r="N311" s="254" t="e">
        <f>N133+N142+#REF!+#REF!</f>
        <v>#REF!</v>
      </c>
      <c r="O311" s="254" t="e">
        <f>O133+O142+#REF!+#REF!</f>
        <v>#REF!</v>
      </c>
      <c r="P311" s="254">
        <f>P148+P159+P152</f>
        <v>1612290</v>
      </c>
      <c r="Q311" s="9">
        <f t="shared" si="58"/>
        <v>0.07021790681399265</v>
      </c>
    </row>
    <row r="312" spans="1:17" ht="15.75" customHeight="1">
      <c r="A312" s="11"/>
      <c r="B312" s="546" t="s">
        <v>585</v>
      </c>
      <c r="C312" s="546"/>
      <c r="D312" s="546"/>
      <c r="E312" s="546"/>
      <c r="F312" s="11"/>
      <c r="G312" s="11"/>
      <c r="H312" s="11"/>
      <c r="I312" s="11"/>
      <c r="J312" s="11"/>
      <c r="K312" s="11"/>
      <c r="L312" s="11"/>
      <c r="M312" s="253">
        <f>M125</f>
        <v>211009</v>
      </c>
      <c r="N312" s="253">
        <f>N125</f>
        <v>0</v>
      </c>
      <c r="O312" s="253">
        <f>O125</f>
        <v>0</v>
      </c>
      <c r="P312" s="253">
        <f>P125</f>
        <v>510000</v>
      </c>
      <c r="Q312" s="9">
        <f t="shared" si="58"/>
        <v>0.022211346888671546</v>
      </c>
    </row>
    <row r="314" spans="2:4" ht="12.75">
      <c r="B314" t="s">
        <v>27</v>
      </c>
      <c r="D314" t="s">
        <v>803</v>
      </c>
    </row>
  </sheetData>
  <mergeCells count="21">
    <mergeCell ref="A284:A286"/>
    <mergeCell ref="G13:G15"/>
    <mergeCell ref="K13:K15"/>
    <mergeCell ref="L13:L15"/>
    <mergeCell ref="A12:A15"/>
    <mergeCell ref="B12:B14"/>
    <mergeCell ref="C12:E14"/>
    <mergeCell ref="B312:E312"/>
    <mergeCell ref="B311:E311"/>
    <mergeCell ref="I14:I15"/>
    <mergeCell ref="F13:F15"/>
    <mergeCell ref="H13:H15"/>
    <mergeCell ref="M2:Q4"/>
    <mergeCell ref="Q12:Q15"/>
    <mergeCell ref="Q10:Q11"/>
    <mergeCell ref="A6:P11"/>
    <mergeCell ref="M12:M15"/>
    <mergeCell ref="P12:P15"/>
    <mergeCell ref="O13:O15"/>
    <mergeCell ref="N13:N15"/>
    <mergeCell ref="N12:O12"/>
  </mergeCells>
  <printOptions/>
  <pageMargins left="0.7874015748031497" right="0.7874015748031497" top="0.3937007874015748" bottom="0.7874015748031497" header="0.5118110236220472" footer="0.5118110236220472"/>
  <pageSetup horizontalDpi="300" verticalDpi="300" orientation="portrait" paperSize="9" r:id="rId1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560"/>
  <sheetViews>
    <sheetView zoomScaleSheetLayoutView="75" workbookViewId="0" topLeftCell="A1">
      <selection activeCell="B2" sqref="B2:N2"/>
    </sheetView>
  </sheetViews>
  <sheetFormatPr defaultColWidth="9.00390625" defaultRowHeight="12.75"/>
  <cols>
    <col min="1" max="1" width="6.00390625" style="0" customWidth="1"/>
    <col min="2" max="2" width="4.75390625" style="0" customWidth="1"/>
    <col min="3" max="3" width="30.125" style="0" customWidth="1"/>
    <col min="4" max="4" width="13.25390625" style="0" hidden="1" customWidth="1"/>
    <col min="5" max="5" width="14.625" style="0" hidden="1" customWidth="1"/>
    <col min="6" max="6" width="12.00390625" style="0" hidden="1" customWidth="1"/>
    <col min="7" max="7" width="5.625" style="0" hidden="1" customWidth="1"/>
    <col min="8" max="10" width="15.00390625" style="0" hidden="1" customWidth="1"/>
    <col min="11" max="11" width="12.375" style="0" customWidth="1"/>
    <col min="12" max="12" width="12.00390625" style="0" customWidth="1"/>
    <col min="13" max="13" width="10.625" style="0" customWidth="1"/>
    <col min="14" max="14" width="10.125" style="0" customWidth="1"/>
  </cols>
  <sheetData>
    <row r="1" spans="13:15" ht="42.75" customHeight="1">
      <c r="M1" s="527" t="s">
        <v>863</v>
      </c>
      <c r="N1" s="527"/>
      <c r="O1" s="527"/>
    </row>
    <row r="2" spans="2:22" ht="30.75" customHeight="1" thickBot="1">
      <c r="B2" s="502" t="s">
        <v>665</v>
      </c>
      <c r="C2" s="502"/>
      <c r="D2" s="502"/>
      <c r="E2" s="502"/>
      <c r="F2" s="502"/>
      <c r="G2" s="502"/>
      <c r="H2" s="502"/>
      <c r="I2" s="502"/>
      <c r="J2" s="502"/>
      <c r="K2" s="502"/>
      <c r="L2" s="502"/>
      <c r="M2" s="502"/>
      <c r="N2" s="502"/>
      <c r="O2" s="527"/>
      <c r="P2" s="527"/>
      <c r="Q2" s="527"/>
      <c r="R2" s="527"/>
      <c r="S2" s="527"/>
      <c r="T2" s="527"/>
      <c r="U2" s="527"/>
      <c r="V2" s="527"/>
    </row>
    <row r="3" spans="2:14" ht="19.5" customHeight="1" hidden="1" thickBot="1">
      <c r="B3" s="16"/>
      <c r="C3" s="502"/>
      <c r="D3" s="502"/>
      <c r="E3" s="502"/>
      <c r="F3" s="502"/>
      <c r="G3" s="502"/>
      <c r="H3" s="502"/>
      <c r="I3" s="502"/>
      <c r="J3" s="502"/>
      <c r="K3" s="502"/>
      <c r="L3" s="502"/>
      <c r="M3" s="502"/>
      <c r="N3" s="502"/>
    </row>
    <row r="4" spans="1:15" ht="19.5" customHeight="1" thickBot="1">
      <c r="A4" s="507" t="s">
        <v>28</v>
      </c>
      <c r="B4" s="505" t="s">
        <v>29</v>
      </c>
      <c r="C4" s="499" t="s">
        <v>30</v>
      </c>
      <c r="D4" s="270"/>
      <c r="E4" s="270"/>
      <c r="F4" s="270"/>
      <c r="G4" s="270"/>
      <c r="H4" s="499" t="s">
        <v>35</v>
      </c>
      <c r="I4" s="497" t="s">
        <v>592</v>
      </c>
      <c r="J4" s="498"/>
      <c r="K4" s="553" t="s">
        <v>663</v>
      </c>
      <c r="L4" s="489" t="s">
        <v>36</v>
      </c>
      <c r="M4" s="489"/>
      <c r="N4" s="489"/>
      <c r="O4" s="515" t="s">
        <v>664</v>
      </c>
    </row>
    <row r="5" spans="1:15" ht="14.25" customHeight="1">
      <c r="A5" s="508"/>
      <c r="B5" s="506"/>
      <c r="C5" s="500"/>
      <c r="D5" s="485" t="s">
        <v>31</v>
      </c>
      <c r="E5" s="483" t="s">
        <v>32</v>
      </c>
      <c r="F5" s="483" t="s">
        <v>33</v>
      </c>
      <c r="G5" s="503" t="s">
        <v>34</v>
      </c>
      <c r="H5" s="500"/>
      <c r="I5" s="487" t="s">
        <v>471</v>
      </c>
      <c r="J5" s="509" t="s">
        <v>472</v>
      </c>
      <c r="K5" s="554"/>
      <c r="L5" s="490"/>
      <c r="M5" s="490"/>
      <c r="N5" s="490"/>
      <c r="O5" s="516"/>
    </row>
    <row r="6" spans="1:15" ht="6" customHeight="1" thickBot="1">
      <c r="A6" s="508"/>
      <c r="B6" s="506"/>
      <c r="C6" s="500"/>
      <c r="D6" s="486"/>
      <c r="E6" s="483"/>
      <c r="F6" s="483"/>
      <c r="G6" s="503"/>
      <c r="H6" s="500"/>
      <c r="I6" s="488"/>
      <c r="J6" s="510"/>
      <c r="K6" s="554"/>
      <c r="L6" s="547"/>
      <c r="M6" s="547"/>
      <c r="N6" s="547"/>
      <c r="O6" s="516"/>
    </row>
    <row r="7" spans="1:15" ht="48.75" customHeight="1" thickBot="1">
      <c r="A7" s="508"/>
      <c r="B7" s="506"/>
      <c r="C7" s="500"/>
      <c r="D7" s="487"/>
      <c r="E7" s="484"/>
      <c r="F7" s="484"/>
      <c r="G7" s="504"/>
      <c r="H7" s="500"/>
      <c r="I7" s="488"/>
      <c r="J7" s="510"/>
      <c r="K7" s="555"/>
      <c r="L7" s="329" t="s">
        <v>37</v>
      </c>
      <c r="M7" s="331" t="s">
        <v>38</v>
      </c>
      <c r="N7" s="332" t="s">
        <v>39</v>
      </c>
      <c r="O7" s="517"/>
    </row>
    <row r="8" spans="1:15" ht="12" customHeight="1" thickBot="1">
      <c r="A8" s="333">
        <v>1</v>
      </c>
      <c r="B8" s="334">
        <v>2</v>
      </c>
      <c r="C8" s="335">
        <v>3</v>
      </c>
      <c r="D8" s="335">
        <v>4</v>
      </c>
      <c r="E8" s="335">
        <v>4</v>
      </c>
      <c r="F8" s="335">
        <v>5</v>
      </c>
      <c r="G8" s="335">
        <v>6</v>
      </c>
      <c r="H8" s="335">
        <v>5</v>
      </c>
      <c r="I8" s="335"/>
      <c r="J8" s="335"/>
      <c r="K8" s="335">
        <v>5</v>
      </c>
      <c r="L8" s="335">
        <v>6</v>
      </c>
      <c r="M8" s="335">
        <v>7</v>
      </c>
      <c r="N8" s="335">
        <v>8</v>
      </c>
      <c r="O8" s="336">
        <v>11</v>
      </c>
    </row>
    <row r="9" spans="1:18" ht="18" customHeight="1">
      <c r="A9" s="58" t="s">
        <v>40</v>
      </c>
      <c r="B9" s="550"/>
      <c r="C9" s="60" t="s">
        <v>41</v>
      </c>
      <c r="D9" s="60">
        <f>D10+D27</f>
        <v>303000</v>
      </c>
      <c r="E9" s="60">
        <f>E10+E27</f>
        <v>373400</v>
      </c>
      <c r="F9" s="60">
        <f>F10+F27</f>
        <v>0</v>
      </c>
      <c r="G9" s="60">
        <f>G10+G27</f>
        <v>0</v>
      </c>
      <c r="H9" s="60">
        <f aca="true" t="shared" si="0" ref="H9:N9">H10+H27+H25</f>
        <v>449500</v>
      </c>
      <c r="I9" s="60">
        <f t="shared" si="0"/>
        <v>0</v>
      </c>
      <c r="J9" s="60">
        <f t="shared" si="0"/>
        <v>0</v>
      </c>
      <c r="K9" s="60">
        <f t="shared" si="0"/>
        <v>159000</v>
      </c>
      <c r="L9" s="60">
        <f t="shared" si="0"/>
        <v>159000</v>
      </c>
      <c r="M9" s="60">
        <f t="shared" si="0"/>
        <v>0</v>
      </c>
      <c r="N9" s="60">
        <f t="shared" si="0"/>
        <v>0</v>
      </c>
      <c r="O9" s="9">
        <f>K9/$K$549</f>
        <v>0.005389882762931193</v>
      </c>
      <c r="R9" s="330"/>
    </row>
    <row r="10" spans="1:15" ht="17.25" customHeight="1">
      <c r="A10" s="21" t="s">
        <v>42</v>
      </c>
      <c r="B10" s="546"/>
      <c r="C10" s="10" t="s">
        <v>43</v>
      </c>
      <c r="D10" s="10">
        <f>D13+D14+D15+D16+D24</f>
        <v>303000</v>
      </c>
      <c r="E10" s="10">
        <f>E12+E13+E14+E15+E16+E17+E18+E19+E21+E22+E24+E11</f>
        <v>336000</v>
      </c>
      <c r="F10" s="10">
        <f>F12+F13+F14+F15+F16+F17+F18+F19+F21+F22+F11</f>
        <v>0</v>
      </c>
      <c r="G10" s="10">
        <f>G12+G13+G14+G15+G16+G17+G18+G19+G21+G22+G24+G11</f>
        <v>0</v>
      </c>
      <c r="H10" s="10">
        <f>H13+H14+H15+H16+H17+H18+H19+H21+H22+H23+H24+H20</f>
        <v>399000</v>
      </c>
      <c r="I10" s="10">
        <f>I12+I13+I14+I15+I16+I17+I18+I19+I21+I22+I11+I20+I23+I24</f>
        <v>0</v>
      </c>
      <c r="J10" s="10">
        <f>J12+J13+J14+J15+J16+J17+J18+J19+J21+J22+J24+J11+J20+J23</f>
        <v>0</v>
      </c>
      <c r="K10" s="10">
        <f>K12+K13+K14+K15+K16+K17+K18+K19+K21+K22+K24+K11+K20+K23</f>
        <v>114000</v>
      </c>
      <c r="L10" s="10">
        <f>L11+L12+L13+L14+L15+L16+L17+L18+L19+L21+L22+L24+L23+L20</f>
        <v>114000</v>
      </c>
      <c r="M10" s="23">
        <f>M11+M12+M13+M14+M15+M16+M17+M18+M19+M21+M22+M24</f>
        <v>0</v>
      </c>
      <c r="N10" s="23">
        <f>N11+N12+N13+N14+N15+N16+N17+N18+N19+N21+N22+N24</f>
        <v>0</v>
      </c>
      <c r="O10" s="9">
        <f aca="true" t="shared" si="1" ref="O10:O81">K10/$K$549</f>
        <v>0.003864444245120478</v>
      </c>
    </row>
    <row r="11" spans="1:15" ht="12" customHeight="1" hidden="1">
      <c r="A11" s="21"/>
      <c r="B11" s="22" t="s">
        <v>44</v>
      </c>
      <c r="C11" s="24" t="s">
        <v>45</v>
      </c>
      <c r="D11" s="24"/>
      <c r="E11" s="24">
        <v>4100</v>
      </c>
      <c r="F11" s="24">
        <v>0</v>
      </c>
      <c r="G11" s="24">
        <v>0</v>
      </c>
      <c r="H11" s="24"/>
      <c r="I11" s="24">
        <v>0</v>
      </c>
      <c r="J11" s="24">
        <v>0</v>
      </c>
      <c r="K11" s="24"/>
      <c r="L11" s="24"/>
      <c r="M11" s="25"/>
      <c r="N11" s="25"/>
      <c r="O11" s="9">
        <f t="shared" si="1"/>
        <v>0</v>
      </c>
    </row>
    <row r="12" spans="1:15" ht="14.25" customHeight="1" hidden="1">
      <c r="A12" s="21"/>
      <c r="B12" s="22" t="s">
        <v>46</v>
      </c>
      <c r="C12" s="26" t="s">
        <v>47</v>
      </c>
      <c r="D12" s="24"/>
      <c r="E12" s="24">
        <v>1760</v>
      </c>
      <c r="F12" s="24">
        <v>0</v>
      </c>
      <c r="G12" s="24">
        <v>0</v>
      </c>
      <c r="H12" s="24"/>
      <c r="I12" s="24">
        <v>0</v>
      </c>
      <c r="J12" s="24">
        <v>0</v>
      </c>
      <c r="K12" s="24"/>
      <c r="L12" s="24"/>
      <c r="M12" s="25"/>
      <c r="N12" s="25"/>
      <c r="O12" s="9">
        <f t="shared" si="1"/>
        <v>0</v>
      </c>
    </row>
    <row r="13" spans="1:15" ht="25.5" customHeight="1">
      <c r="A13" s="501"/>
      <c r="B13" s="22" t="s">
        <v>48</v>
      </c>
      <c r="C13" s="14" t="s">
        <v>49</v>
      </c>
      <c r="D13" s="11">
        <v>70035</v>
      </c>
      <c r="E13" s="11">
        <v>72840</v>
      </c>
      <c r="F13" s="11">
        <v>0</v>
      </c>
      <c r="G13" s="11">
        <v>0</v>
      </c>
      <c r="H13" s="11">
        <v>83580</v>
      </c>
      <c r="I13" s="11">
        <v>0</v>
      </c>
      <c r="J13" s="11">
        <v>0</v>
      </c>
      <c r="K13" s="11">
        <v>39000</v>
      </c>
      <c r="L13" s="11">
        <f>K13</f>
        <v>39000</v>
      </c>
      <c r="M13" s="28">
        <v>0</v>
      </c>
      <c r="N13" s="28">
        <v>0</v>
      </c>
      <c r="O13" s="9">
        <f t="shared" si="1"/>
        <v>0.001322046715435953</v>
      </c>
    </row>
    <row r="14" spans="1:15" ht="23.25" customHeight="1">
      <c r="A14" s="501"/>
      <c r="B14" s="22" t="s">
        <v>50</v>
      </c>
      <c r="C14" s="14" t="s">
        <v>51</v>
      </c>
      <c r="D14" s="11">
        <v>149465</v>
      </c>
      <c r="E14" s="11">
        <v>158968</v>
      </c>
      <c r="F14" s="11">
        <v>0</v>
      </c>
      <c r="G14" s="11">
        <v>0</v>
      </c>
      <c r="H14" s="11">
        <v>159620</v>
      </c>
      <c r="I14" s="11">
        <v>0</v>
      </c>
      <c r="J14" s="11">
        <v>0</v>
      </c>
      <c r="K14" s="11">
        <v>44000</v>
      </c>
      <c r="L14" s="11">
        <f aca="true" t="shared" si="2" ref="L14:L24">K14</f>
        <v>44000</v>
      </c>
      <c r="M14" s="28">
        <v>0</v>
      </c>
      <c r="N14" s="28">
        <v>0</v>
      </c>
      <c r="O14" s="9">
        <f t="shared" si="1"/>
        <v>0.001491539884081588</v>
      </c>
    </row>
    <row r="15" spans="1:15" ht="18" customHeight="1">
      <c r="A15" s="501"/>
      <c r="B15" s="22" t="s">
        <v>52</v>
      </c>
      <c r="C15" s="14" t="s">
        <v>53</v>
      </c>
      <c r="D15" s="11">
        <v>16347</v>
      </c>
      <c r="E15" s="11">
        <v>17570</v>
      </c>
      <c r="F15" s="11">
        <v>0</v>
      </c>
      <c r="G15" s="11">
        <v>0</v>
      </c>
      <c r="H15" s="11">
        <v>17420</v>
      </c>
      <c r="I15" s="11">
        <v>0</v>
      </c>
      <c r="J15" s="11">
        <v>0</v>
      </c>
      <c r="K15" s="11">
        <v>0</v>
      </c>
      <c r="L15" s="11">
        <f t="shared" si="2"/>
        <v>0</v>
      </c>
      <c r="M15" s="28">
        <v>0</v>
      </c>
      <c r="N15" s="28">
        <v>0</v>
      </c>
      <c r="O15" s="9">
        <f t="shared" si="1"/>
        <v>0</v>
      </c>
    </row>
    <row r="16" spans="1:15" ht="13.5" customHeight="1">
      <c r="A16" s="501"/>
      <c r="B16" s="29" t="s">
        <v>54</v>
      </c>
      <c r="C16" s="14" t="s">
        <v>55</v>
      </c>
      <c r="D16" s="11">
        <v>45328</v>
      </c>
      <c r="E16" s="11">
        <v>39440</v>
      </c>
      <c r="F16" s="11">
        <v>0</v>
      </c>
      <c r="G16" s="11">
        <v>0</v>
      </c>
      <c r="H16" s="11">
        <v>46599</v>
      </c>
      <c r="I16" s="11">
        <v>0</v>
      </c>
      <c r="J16" s="11">
        <v>0</v>
      </c>
      <c r="K16" s="11">
        <v>15000</v>
      </c>
      <c r="L16" s="11">
        <f t="shared" si="2"/>
        <v>15000</v>
      </c>
      <c r="M16" s="28">
        <v>0</v>
      </c>
      <c r="N16" s="28">
        <v>0</v>
      </c>
      <c r="O16" s="9">
        <f t="shared" si="1"/>
        <v>0.000508479505936905</v>
      </c>
    </row>
    <row r="17" spans="1:15" ht="13.5" customHeight="1">
      <c r="A17" s="501"/>
      <c r="B17" s="29" t="s">
        <v>56</v>
      </c>
      <c r="C17" s="14" t="s">
        <v>57</v>
      </c>
      <c r="D17" s="11"/>
      <c r="E17" s="11">
        <v>5404</v>
      </c>
      <c r="F17" s="11">
        <v>0</v>
      </c>
      <c r="G17" s="11">
        <v>0</v>
      </c>
      <c r="H17" s="11">
        <v>6385</v>
      </c>
      <c r="I17" s="11">
        <v>0</v>
      </c>
      <c r="J17" s="11">
        <v>0</v>
      </c>
      <c r="K17" s="11">
        <v>2000</v>
      </c>
      <c r="L17" s="11">
        <f t="shared" si="2"/>
        <v>2000</v>
      </c>
      <c r="M17" s="28">
        <v>0</v>
      </c>
      <c r="N17" s="28">
        <v>0</v>
      </c>
      <c r="O17" s="9">
        <f t="shared" si="1"/>
        <v>6.7797267458254E-05</v>
      </c>
    </row>
    <row r="18" spans="1:15" ht="13.5" customHeight="1">
      <c r="A18" s="501"/>
      <c r="B18" s="29" t="s">
        <v>58</v>
      </c>
      <c r="C18" s="14" t="s">
        <v>59</v>
      </c>
      <c r="D18" s="11"/>
      <c r="E18" s="11">
        <v>14688</v>
      </c>
      <c r="F18" s="11">
        <v>0</v>
      </c>
      <c r="G18" s="11">
        <v>0</v>
      </c>
      <c r="H18" s="11">
        <v>50946</v>
      </c>
      <c r="I18" s="11">
        <v>0</v>
      </c>
      <c r="J18" s="11">
        <v>0</v>
      </c>
      <c r="K18" s="11">
        <v>7000</v>
      </c>
      <c r="L18" s="11">
        <f t="shared" si="2"/>
        <v>7000</v>
      </c>
      <c r="M18" s="28">
        <v>0</v>
      </c>
      <c r="N18" s="28">
        <v>0</v>
      </c>
      <c r="O18" s="9">
        <f t="shared" si="1"/>
        <v>0.000237290436103889</v>
      </c>
    </row>
    <row r="19" spans="1:15" ht="15" customHeight="1">
      <c r="A19" s="501"/>
      <c r="B19" s="29" t="s">
        <v>60</v>
      </c>
      <c r="C19" s="14" t="s">
        <v>61</v>
      </c>
      <c r="D19" s="11"/>
      <c r="E19" s="11">
        <v>950</v>
      </c>
      <c r="F19" s="11">
        <v>0</v>
      </c>
      <c r="G19" s="11">
        <v>0</v>
      </c>
      <c r="H19" s="11">
        <v>1960</v>
      </c>
      <c r="I19" s="11">
        <v>0</v>
      </c>
      <c r="J19" s="11">
        <v>0</v>
      </c>
      <c r="K19" s="11">
        <v>1500</v>
      </c>
      <c r="L19" s="11">
        <f t="shared" si="2"/>
        <v>1500</v>
      </c>
      <c r="M19" s="28">
        <v>0</v>
      </c>
      <c r="N19" s="28">
        <v>0</v>
      </c>
      <c r="O19" s="9">
        <f t="shared" si="1"/>
        <v>5.0847950593690504E-05</v>
      </c>
    </row>
    <row r="20" spans="1:15" ht="15" customHeight="1">
      <c r="A20" s="501"/>
      <c r="B20" s="29" t="s">
        <v>62</v>
      </c>
      <c r="C20" s="14" t="s">
        <v>63</v>
      </c>
      <c r="D20" s="11"/>
      <c r="E20" s="11"/>
      <c r="F20" s="11"/>
      <c r="G20" s="11"/>
      <c r="H20" s="11">
        <v>0</v>
      </c>
      <c r="I20" s="11">
        <v>0</v>
      </c>
      <c r="J20" s="11">
        <v>0</v>
      </c>
      <c r="K20" s="11">
        <v>500</v>
      </c>
      <c r="L20" s="11">
        <f t="shared" si="2"/>
        <v>500</v>
      </c>
      <c r="M20" s="28">
        <v>0</v>
      </c>
      <c r="N20" s="28">
        <v>0</v>
      </c>
      <c r="O20" s="9">
        <v>0</v>
      </c>
    </row>
    <row r="21" spans="1:15" ht="15.75" customHeight="1">
      <c r="A21" s="501"/>
      <c r="B21" s="29" t="s">
        <v>64</v>
      </c>
      <c r="C21" s="14" t="s">
        <v>65</v>
      </c>
      <c r="D21" s="11"/>
      <c r="E21" s="11">
        <v>15626</v>
      </c>
      <c r="F21" s="11">
        <v>0</v>
      </c>
      <c r="G21" s="11">
        <v>0</v>
      </c>
      <c r="H21" s="11">
        <v>24600</v>
      </c>
      <c r="I21" s="11">
        <v>0</v>
      </c>
      <c r="J21" s="11">
        <v>0</v>
      </c>
      <c r="K21" s="11">
        <v>4500</v>
      </c>
      <c r="L21" s="11">
        <f t="shared" si="2"/>
        <v>4500</v>
      </c>
      <c r="M21" s="28">
        <v>0</v>
      </c>
      <c r="N21" s="28">
        <v>0</v>
      </c>
      <c r="O21" s="9">
        <f t="shared" si="1"/>
        <v>0.0001525438517810715</v>
      </c>
    </row>
    <row r="22" spans="1:15" ht="16.5" customHeight="1">
      <c r="A22" s="501"/>
      <c r="B22" s="29" t="s">
        <v>66</v>
      </c>
      <c r="C22" s="14" t="s">
        <v>67</v>
      </c>
      <c r="D22" s="11"/>
      <c r="E22" s="11">
        <v>0</v>
      </c>
      <c r="F22" s="11">
        <v>0</v>
      </c>
      <c r="G22" s="11">
        <v>0</v>
      </c>
      <c r="H22" s="11">
        <v>350</v>
      </c>
      <c r="I22" s="11">
        <v>0</v>
      </c>
      <c r="J22" s="11">
        <v>0</v>
      </c>
      <c r="K22" s="11">
        <v>500</v>
      </c>
      <c r="L22" s="11">
        <f t="shared" si="2"/>
        <v>500</v>
      </c>
      <c r="M22" s="28">
        <v>0</v>
      </c>
      <c r="N22" s="28">
        <v>0</v>
      </c>
      <c r="O22" s="9">
        <f t="shared" si="1"/>
        <v>1.69493168645635E-05</v>
      </c>
    </row>
    <row r="23" spans="1:15" ht="16.5" customHeight="1">
      <c r="A23" s="501"/>
      <c r="B23" s="29" t="s">
        <v>68</v>
      </c>
      <c r="C23" s="14" t="s">
        <v>69</v>
      </c>
      <c r="D23" s="11"/>
      <c r="E23" s="11"/>
      <c r="F23" s="11"/>
      <c r="G23" s="11"/>
      <c r="H23" s="11">
        <v>2600</v>
      </c>
      <c r="I23" s="11">
        <v>0</v>
      </c>
      <c r="J23" s="11">
        <v>0</v>
      </c>
      <c r="K23" s="11">
        <v>0</v>
      </c>
      <c r="L23" s="11">
        <f t="shared" si="2"/>
        <v>0</v>
      </c>
      <c r="M23" s="28">
        <v>0</v>
      </c>
      <c r="N23" s="28">
        <v>0</v>
      </c>
      <c r="O23" s="9">
        <f t="shared" si="1"/>
        <v>0</v>
      </c>
    </row>
    <row r="24" spans="1:15" ht="16.5" customHeight="1">
      <c r="A24" s="501"/>
      <c r="B24" s="22" t="s">
        <v>70</v>
      </c>
      <c r="C24" s="11" t="s">
        <v>71</v>
      </c>
      <c r="D24" s="11">
        <v>21825</v>
      </c>
      <c r="E24" s="11">
        <v>4654</v>
      </c>
      <c r="F24" s="11">
        <v>0</v>
      </c>
      <c r="G24" s="11">
        <v>0</v>
      </c>
      <c r="H24" s="11">
        <v>4940</v>
      </c>
      <c r="I24" s="11">
        <v>0</v>
      </c>
      <c r="J24" s="11">
        <v>0</v>
      </c>
      <c r="K24" s="11">
        <v>0</v>
      </c>
      <c r="L24" s="11">
        <f t="shared" si="2"/>
        <v>0</v>
      </c>
      <c r="M24" s="28">
        <v>0</v>
      </c>
      <c r="N24" s="28">
        <v>0</v>
      </c>
      <c r="O24" s="9">
        <f t="shared" si="1"/>
        <v>0</v>
      </c>
    </row>
    <row r="25" spans="1:15" ht="27.75" customHeight="1" hidden="1">
      <c r="A25" s="30" t="s">
        <v>628</v>
      </c>
      <c r="B25" s="31"/>
      <c r="C25" s="7" t="s">
        <v>629</v>
      </c>
      <c r="D25" s="10"/>
      <c r="E25" s="10"/>
      <c r="F25" s="10"/>
      <c r="G25" s="10"/>
      <c r="H25" s="10">
        <f aca="true" t="shared" si="3" ref="H25:N25">H26</f>
        <v>6500</v>
      </c>
      <c r="I25" s="10">
        <f t="shared" si="3"/>
        <v>0</v>
      </c>
      <c r="J25" s="10">
        <f t="shared" si="3"/>
        <v>0</v>
      </c>
      <c r="K25" s="10">
        <f t="shared" si="3"/>
        <v>0</v>
      </c>
      <c r="L25" s="10">
        <f t="shared" si="3"/>
        <v>0</v>
      </c>
      <c r="M25" s="10">
        <f t="shared" si="3"/>
        <v>0</v>
      </c>
      <c r="N25" s="10">
        <f t="shared" si="3"/>
        <v>0</v>
      </c>
      <c r="O25" s="9">
        <f t="shared" si="1"/>
        <v>0</v>
      </c>
    </row>
    <row r="26" spans="1:15" ht="18.75" customHeight="1" hidden="1">
      <c r="A26" s="30"/>
      <c r="B26" s="35" t="s">
        <v>58</v>
      </c>
      <c r="C26" s="33" t="s">
        <v>59</v>
      </c>
      <c r="D26" s="24"/>
      <c r="E26" s="24"/>
      <c r="F26" s="24"/>
      <c r="G26" s="24"/>
      <c r="H26" s="24">
        <v>6500</v>
      </c>
      <c r="I26" s="24">
        <v>0</v>
      </c>
      <c r="J26" s="24">
        <v>0</v>
      </c>
      <c r="K26" s="24">
        <v>0</v>
      </c>
      <c r="L26" s="24">
        <f>K26</f>
        <v>0</v>
      </c>
      <c r="M26" s="28">
        <v>0</v>
      </c>
      <c r="N26" s="28">
        <v>0</v>
      </c>
      <c r="O26" s="9">
        <f t="shared" si="1"/>
        <v>0</v>
      </c>
    </row>
    <row r="27" spans="1:15" ht="24.75" customHeight="1">
      <c r="A27" s="30" t="s">
        <v>72</v>
      </c>
      <c r="B27" s="31"/>
      <c r="C27" s="7" t="s">
        <v>73</v>
      </c>
      <c r="D27" s="10">
        <f aca="true" t="shared" si="4" ref="D27:N27">D28</f>
        <v>0</v>
      </c>
      <c r="E27" s="10">
        <f t="shared" si="4"/>
        <v>37400</v>
      </c>
      <c r="F27" s="10">
        <f t="shared" si="4"/>
        <v>0</v>
      </c>
      <c r="G27" s="10">
        <f t="shared" si="4"/>
        <v>0</v>
      </c>
      <c r="H27" s="10">
        <f t="shared" si="4"/>
        <v>44000</v>
      </c>
      <c r="I27" s="10">
        <f>I28</f>
        <v>0</v>
      </c>
      <c r="J27" s="10">
        <f>J28</f>
        <v>0</v>
      </c>
      <c r="K27" s="10">
        <f t="shared" si="4"/>
        <v>45000</v>
      </c>
      <c r="L27" s="10">
        <f t="shared" si="4"/>
        <v>45000</v>
      </c>
      <c r="M27" s="23">
        <f t="shared" si="4"/>
        <v>0</v>
      </c>
      <c r="N27" s="23">
        <f t="shared" si="4"/>
        <v>0</v>
      </c>
      <c r="O27" s="9">
        <f t="shared" si="1"/>
        <v>0.0015254385178107152</v>
      </c>
    </row>
    <row r="28" spans="1:15" ht="15.75" customHeight="1">
      <c r="A28" s="27"/>
      <c r="B28" s="22" t="s">
        <v>64</v>
      </c>
      <c r="C28" s="14" t="s">
        <v>65</v>
      </c>
      <c r="D28" s="11">
        <v>0</v>
      </c>
      <c r="E28" s="11">
        <v>37400</v>
      </c>
      <c r="F28" s="11">
        <v>0</v>
      </c>
      <c r="G28" s="11">
        <v>0</v>
      </c>
      <c r="H28" s="11">
        <v>44000</v>
      </c>
      <c r="I28" s="11">
        <v>0</v>
      </c>
      <c r="J28" s="11">
        <v>0</v>
      </c>
      <c r="K28" s="11">
        <v>45000</v>
      </c>
      <c r="L28" s="11">
        <f>K28</f>
        <v>45000</v>
      </c>
      <c r="M28" s="28">
        <v>0</v>
      </c>
      <c r="N28" s="28">
        <v>0</v>
      </c>
      <c r="O28" s="9">
        <f t="shared" si="1"/>
        <v>0.0015254385178107152</v>
      </c>
    </row>
    <row r="29" spans="1:15" ht="15" customHeight="1">
      <c r="A29" s="21" t="s">
        <v>74</v>
      </c>
      <c r="B29" s="546"/>
      <c r="C29" s="10" t="s">
        <v>75</v>
      </c>
      <c r="D29" s="10">
        <f aca="true" t="shared" si="5" ref="D29:G30">D30</f>
        <v>29992</v>
      </c>
      <c r="E29" s="10">
        <f t="shared" si="5"/>
        <v>21000</v>
      </c>
      <c r="F29" s="10">
        <f t="shared" si="5"/>
        <v>0</v>
      </c>
      <c r="G29" s="10">
        <f t="shared" si="5"/>
        <v>0</v>
      </c>
      <c r="H29" s="10">
        <f aca="true" t="shared" si="6" ref="H29:N29">H30+H32</f>
        <v>20109</v>
      </c>
      <c r="I29" s="10">
        <f t="shared" si="6"/>
        <v>0</v>
      </c>
      <c r="J29" s="10">
        <f t="shared" si="6"/>
        <v>0</v>
      </c>
      <c r="K29" s="10">
        <f>K30+K32</f>
        <v>66000</v>
      </c>
      <c r="L29" s="10">
        <f t="shared" si="6"/>
        <v>0</v>
      </c>
      <c r="M29" s="10">
        <f t="shared" si="6"/>
        <v>66000</v>
      </c>
      <c r="N29" s="10">
        <f t="shared" si="6"/>
        <v>0</v>
      </c>
      <c r="O29" s="9">
        <f t="shared" si="1"/>
        <v>0.002237309826122382</v>
      </c>
    </row>
    <row r="30" spans="1:15" ht="20.25" customHeight="1">
      <c r="A30" s="21" t="s">
        <v>640</v>
      </c>
      <c r="B30" s="546"/>
      <c r="C30" s="10" t="s">
        <v>639</v>
      </c>
      <c r="D30" s="10">
        <f t="shared" si="5"/>
        <v>29992</v>
      </c>
      <c r="E30" s="10">
        <f t="shared" si="5"/>
        <v>21000</v>
      </c>
      <c r="F30" s="10">
        <f t="shared" si="5"/>
        <v>0</v>
      </c>
      <c r="G30" s="10">
        <f t="shared" si="5"/>
        <v>0</v>
      </c>
      <c r="H30" s="10">
        <f aca="true" t="shared" si="7" ref="H30:M30">H31</f>
        <v>11009</v>
      </c>
      <c r="I30" s="10">
        <f t="shared" si="7"/>
        <v>0</v>
      </c>
      <c r="J30" s="10">
        <f t="shared" si="7"/>
        <v>0</v>
      </c>
      <c r="K30" s="10">
        <f t="shared" si="7"/>
        <v>55000</v>
      </c>
      <c r="L30" s="10">
        <f t="shared" si="7"/>
        <v>0</v>
      </c>
      <c r="M30" s="23">
        <f t="shared" si="7"/>
        <v>55000</v>
      </c>
      <c r="N30" s="23">
        <f>N31</f>
        <v>0</v>
      </c>
      <c r="O30" s="9">
        <f t="shared" si="1"/>
        <v>0.001864424855101985</v>
      </c>
    </row>
    <row r="31" spans="1:15" ht="16.5" customHeight="1">
      <c r="A31" s="32"/>
      <c r="B31" s="22" t="s">
        <v>46</v>
      </c>
      <c r="C31" s="11" t="s">
        <v>116</v>
      </c>
      <c r="D31" s="11">
        <v>29992</v>
      </c>
      <c r="E31" s="11">
        <v>21000</v>
      </c>
      <c r="F31" s="11">
        <v>0</v>
      </c>
      <c r="G31" s="11">
        <v>0</v>
      </c>
      <c r="H31" s="11">
        <v>11009</v>
      </c>
      <c r="I31" s="11">
        <v>0</v>
      </c>
      <c r="J31" s="11">
        <v>0</v>
      </c>
      <c r="K31" s="11">
        <v>55000</v>
      </c>
      <c r="L31" s="11">
        <v>0</v>
      </c>
      <c r="M31" s="28">
        <f>K31</f>
        <v>55000</v>
      </c>
      <c r="N31" s="28">
        <v>0</v>
      </c>
      <c r="O31" s="9">
        <f t="shared" si="1"/>
        <v>0.001864424855101985</v>
      </c>
    </row>
    <row r="32" spans="1:15" ht="16.5" customHeight="1">
      <c r="A32" s="21" t="s">
        <v>76</v>
      </c>
      <c r="B32" s="22"/>
      <c r="C32" s="10" t="s">
        <v>77</v>
      </c>
      <c r="D32" s="11"/>
      <c r="E32" s="11"/>
      <c r="F32" s="11"/>
      <c r="G32" s="11"/>
      <c r="H32" s="10">
        <f>H34</f>
        <v>9100</v>
      </c>
      <c r="I32" s="10">
        <f>I34</f>
        <v>0</v>
      </c>
      <c r="J32" s="10">
        <f>J34</f>
        <v>0</v>
      </c>
      <c r="K32" s="10">
        <f>K34+K33</f>
        <v>11000</v>
      </c>
      <c r="L32" s="10">
        <f>L34+L33</f>
        <v>0</v>
      </c>
      <c r="M32" s="10">
        <f>M34+M33</f>
        <v>11000</v>
      </c>
      <c r="N32" s="10">
        <f>N34+N33</f>
        <v>0</v>
      </c>
      <c r="O32" s="9">
        <f t="shared" si="1"/>
        <v>0.000372884971020397</v>
      </c>
    </row>
    <row r="33" spans="1:15" ht="16.5" customHeight="1">
      <c r="A33" s="21"/>
      <c r="B33" s="22" t="s">
        <v>58</v>
      </c>
      <c r="C33" s="24" t="s">
        <v>59</v>
      </c>
      <c r="D33" s="24"/>
      <c r="E33" s="24"/>
      <c r="F33" s="24"/>
      <c r="G33" s="24"/>
      <c r="H33" s="24"/>
      <c r="I33" s="24"/>
      <c r="J33" s="24"/>
      <c r="K33" s="24">
        <v>875</v>
      </c>
      <c r="L33" s="24">
        <v>0</v>
      </c>
      <c r="M33" s="24">
        <f>K33</f>
        <v>875</v>
      </c>
      <c r="N33" s="24">
        <v>0</v>
      </c>
      <c r="O33" s="9">
        <f t="shared" si="1"/>
        <v>2.9661304512986125E-05</v>
      </c>
    </row>
    <row r="34" spans="1:15" ht="16.5" customHeight="1">
      <c r="A34" s="32"/>
      <c r="B34" s="22" t="s">
        <v>64</v>
      </c>
      <c r="C34" s="11" t="s">
        <v>65</v>
      </c>
      <c r="D34" s="11"/>
      <c r="E34" s="11"/>
      <c r="F34" s="11"/>
      <c r="G34" s="11"/>
      <c r="H34" s="11">
        <v>9100</v>
      </c>
      <c r="I34" s="11">
        <v>0</v>
      </c>
      <c r="J34" s="11">
        <v>0</v>
      </c>
      <c r="K34" s="11">
        <v>10125</v>
      </c>
      <c r="L34" s="11">
        <v>0</v>
      </c>
      <c r="M34" s="28">
        <f>K34</f>
        <v>10125</v>
      </c>
      <c r="N34" s="28">
        <v>0</v>
      </c>
      <c r="O34" s="9">
        <f t="shared" si="1"/>
        <v>0.00034322366650741087</v>
      </c>
    </row>
    <row r="35" spans="1:15" ht="17.25" customHeight="1">
      <c r="A35" s="21" t="s">
        <v>78</v>
      </c>
      <c r="B35" s="22"/>
      <c r="C35" s="10" t="s">
        <v>79</v>
      </c>
      <c r="D35" s="10">
        <f aca="true" t="shared" si="8" ref="D35:M35">D36</f>
        <v>2556000</v>
      </c>
      <c r="E35" s="10">
        <f t="shared" si="8"/>
        <v>3028010</v>
      </c>
      <c r="F35" s="10">
        <f t="shared" si="8"/>
        <v>848000</v>
      </c>
      <c r="G35" s="10">
        <f t="shared" si="8"/>
        <v>648000</v>
      </c>
      <c r="H35" s="10">
        <f t="shared" si="8"/>
        <v>3014200</v>
      </c>
      <c r="I35" s="10">
        <f t="shared" si="8"/>
        <v>3062</v>
      </c>
      <c r="J35" s="10">
        <f t="shared" si="8"/>
        <v>3062</v>
      </c>
      <c r="K35" s="10">
        <f t="shared" si="8"/>
        <v>3442900</v>
      </c>
      <c r="L35" s="10">
        <f t="shared" si="8"/>
        <v>0</v>
      </c>
      <c r="M35" s="23">
        <f t="shared" si="8"/>
        <v>3372008</v>
      </c>
      <c r="N35" s="23">
        <f>N36</f>
        <v>70892</v>
      </c>
      <c r="O35" s="9">
        <f t="shared" si="1"/>
        <v>0.11670960606601136</v>
      </c>
    </row>
    <row r="36" spans="1:15" ht="14.25" customHeight="1">
      <c r="A36" s="21" t="s">
        <v>80</v>
      </c>
      <c r="B36" s="22"/>
      <c r="C36" s="10" t="s">
        <v>81</v>
      </c>
      <c r="D36" s="10">
        <f>D37+D38+D39+D41+D51+D54</f>
        <v>2556000</v>
      </c>
      <c r="E36" s="10">
        <f>E37+E38+E39+E40+E41+E42+E43+E44+E45+E46+E47+E48+E49+E50+E51+E52+E54+E55</f>
        <v>3028010</v>
      </c>
      <c r="F36" s="10">
        <f>F37+F38+F39+F40+F41+F42+F43+F44+F45+F46+F47+F48+F49+F50+F52+F54+F55+F53</f>
        <v>848000</v>
      </c>
      <c r="G36" s="10">
        <f>G37+G38+G39+G40+G41+G42+G43+G44+G45+G46+G47+G48+G49+G50+G52+G54+G55+G53</f>
        <v>648000</v>
      </c>
      <c r="H36" s="10">
        <f>H37+H38+H39+H40+H41+H42+H43+H44+H45+H46+H47+H48+H49+H50+H52+H53+H54+H55</f>
        <v>3014200</v>
      </c>
      <c r="I36" s="10">
        <f>I37+I38+I39+I40+I41+I42+I43+I44+I45+I46+I47+I48+I49+I50+I52+I54+I55+I53</f>
        <v>3062</v>
      </c>
      <c r="J36" s="10">
        <f>J37+J38+J39+J40+J41+J42+J43+J44+J45+J46+J47+J48+J49+J50+J52+J54+J55+J53</f>
        <v>3062</v>
      </c>
      <c r="K36" s="10">
        <f>K37+K38+K39+K40+K41+K42+K43+K44+K45+K46+K47+K48+K49+K50+K52+K54+K55+K53+K56+K57</f>
        <v>3442900</v>
      </c>
      <c r="L36" s="10">
        <f>L37+L38+L39+L40+L41+L42+L43+L44+L45+L46+L47+L48+L49+L50+L52+L54+L55+L53+L56+L57</f>
        <v>0</v>
      </c>
      <c r="M36" s="10">
        <f>M37+M38+M39+M40+M41+M42+M43+M44+M45+M46+M47+M48+M49+M50+M52+M54+M55+M53+M56+M57</f>
        <v>3372008</v>
      </c>
      <c r="N36" s="10">
        <f>N37+N38+N39+N40+N41+N42+N43+N44+N45+N46+N47+N48+N49+N50+N52+N54+N55+N53+N56+N57</f>
        <v>70892</v>
      </c>
      <c r="O36" s="9">
        <f t="shared" si="1"/>
        <v>0.11670960606601136</v>
      </c>
    </row>
    <row r="37" spans="1:15" ht="25.5" customHeight="1">
      <c r="A37" s="501"/>
      <c r="B37" s="22" t="s">
        <v>48</v>
      </c>
      <c r="C37" s="14" t="s">
        <v>49</v>
      </c>
      <c r="D37" s="11">
        <v>580000</v>
      </c>
      <c r="E37" s="11">
        <v>599500</v>
      </c>
      <c r="F37" s="11">
        <v>0</v>
      </c>
      <c r="G37" s="11">
        <v>0</v>
      </c>
      <c r="H37" s="11">
        <v>377160</v>
      </c>
      <c r="I37" s="11">
        <v>0</v>
      </c>
      <c r="J37" s="11">
        <v>0</v>
      </c>
      <c r="K37" s="11">
        <v>332415</v>
      </c>
      <c r="L37" s="11">
        <v>0</v>
      </c>
      <c r="M37" s="28">
        <f>K37</f>
        <v>332415</v>
      </c>
      <c r="N37" s="28">
        <v>0</v>
      </c>
      <c r="O37" s="9">
        <f t="shared" si="1"/>
        <v>0.011268414331067752</v>
      </c>
    </row>
    <row r="38" spans="1:15" ht="15.75" customHeight="1">
      <c r="A38" s="501"/>
      <c r="B38" s="22" t="s">
        <v>52</v>
      </c>
      <c r="C38" s="14" t="s">
        <v>53</v>
      </c>
      <c r="D38" s="11">
        <v>37980</v>
      </c>
      <c r="E38" s="11">
        <v>46300</v>
      </c>
      <c r="F38" s="11">
        <v>0</v>
      </c>
      <c r="G38" s="11">
        <v>41</v>
      </c>
      <c r="H38" s="11">
        <v>33451</v>
      </c>
      <c r="I38" s="11">
        <v>0</v>
      </c>
      <c r="J38" s="11">
        <v>0</v>
      </c>
      <c r="K38" s="11">
        <v>33240</v>
      </c>
      <c r="L38" s="11">
        <v>0</v>
      </c>
      <c r="M38" s="28">
        <f aca="true" t="shared" si="9" ref="M38:M52">K38</f>
        <v>33240</v>
      </c>
      <c r="N38" s="28">
        <v>0</v>
      </c>
      <c r="O38" s="9">
        <f t="shared" si="1"/>
        <v>0.0011267905851561814</v>
      </c>
    </row>
    <row r="39" spans="1:15" ht="16.5" customHeight="1">
      <c r="A39" s="501"/>
      <c r="B39" s="29" t="s">
        <v>82</v>
      </c>
      <c r="C39" s="14" t="s">
        <v>83</v>
      </c>
      <c r="D39" s="11">
        <v>121770</v>
      </c>
      <c r="E39" s="11">
        <v>110000</v>
      </c>
      <c r="F39" s="11">
        <v>0</v>
      </c>
      <c r="G39" s="11">
        <v>1150</v>
      </c>
      <c r="H39" s="11">
        <v>80815</v>
      </c>
      <c r="I39" s="11">
        <v>0</v>
      </c>
      <c r="J39" s="11">
        <v>0</v>
      </c>
      <c r="K39" s="11">
        <v>69128</v>
      </c>
      <c r="L39" s="11">
        <v>0</v>
      </c>
      <c r="M39" s="28">
        <f t="shared" si="9"/>
        <v>69128</v>
      </c>
      <c r="N39" s="28">
        <v>0</v>
      </c>
      <c r="O39" s="9">
        <f t="shared" si="1"/>
        <v>0.0023433447524270914</v>
      </c>
    </row>
    <row r="40" spans="1:15" ht="18" customHeight="1">
      <c r="A40" s="501"/>
      <c r="B40" s="29" t="s">
        <v>56</v>
      </c>
      <c r="C40" s="14" t="s">
        <v>57</v>
      </c>
      <c r="D40" s="11"/>
      <c r="E40" s="11">
        <v>12400</v>
      </c>
      <c r="F40" s="11">
        <v>2500</v>
      </c>
      <c r="G40" s="11">
        <v>0</v>
      </c>
      <c r="H40" s="11">
        <v>11074</v>
      </c>
      <c r="I40" s="11">
        <v>0</v>
      </c>
      <c r="J40" s="11">
        <v>0</v>
      </c>
      <c r="K40" s="11">
        <v>9552</v>
      </c>
      <c r="L40" s="11">
        <v>0</v>
      </c>
      <c r="M40" s="28">
        <f t="shared" si="9"/>
        <v>9552</v>
      </c>
      <c r="N40" s="28">
        <v>0</v>
      </c>
      <c r="O40" s="9">
        <f t="shared" si="1"/>
        <v>0.00032379974938062114</v>
      </c>
    </row>
    <row r="41" spans="1:15" ht="15.75" customHeight="1">
      <c r="A41" s="501"/>
      <c r="B41" s="22" t="s">
        <v>44</v>
      </c>
      <c r="C41" s="11" t="s">
        <v>84</v>
      </c>
      <c r="D41" s="11">
        <v>1296250</v>
      </c>
      <c r="E41" s="24">
        <v>4000</v>
      </c>
      <c r="F41" s="24">
        <v>0</v>
      </c>
      <c r="G41" s="24">
        <v>0</v>
      </c>
      <c r="H41" s="24">
        <v>3000</v>
      </c>
      <c r="I41" s="24">
        <v>0</v>
      </c>
      <c r="J41" s="24">
        <v>0</v>
      </c>
      <c r="K41" s="24">
        <v>5000</v>
      </c>
      <c r="L41" s="11">
        <v>0</v>
      </c>
      <c r="M41" s="28">
        <f t="shared" si="9"/>
        <v>5000</v>
      </c>
      <c r="N41" s="28">
        <v>0</v>
      </c>
      <c r="O41" s="9">
        <f t="shared" si="1"/>
        <v>0.000169493168645635</v>
      </c>
    </row>
    <row r="42" spans="1:15" ht="17.25" customHeight="1" hidden="1">
      <c r="A42" s="27"/>
      <c r="B42" s="22" t="s">
        <v>184</v>
      </c>
      <c r="C42" s="33" t="s">
        <v>594</v>
      </c>
      <c r="D42" s="11">
        <v>1156000</v>
      </c>
      <c r="E42" s="24">
        <v>300</v>
      </c>
      <c r="F42" s="24">
        <v>0</v>
      </c>
      <c r="G42" s="24">
        <v>300</v>
      </c>
      <c r="H42" s="24">
        <v>4000</v>
      </c>
      <c r="I42" s="24">
        <v>0</v>
      </c>
      <c r="J42" s="24">
        <v>3062</v>
      </c>
      <c r="K42" s="24">
        <v>0</v>
      </c>
      <c r="L42" s="11">
        <v>0</v>
      </c>
      <c r="M42" s="28">
        <f t="shared" si="9"/>
        <v>0</v>
      </c>
      <c r="N42" s="28">
        <v>0</v>
      </c>
      <c r="O42" s="9">
        <f t="shared" si="1"/>
        <v>0</v>
      </c>
    </row>
    <row r="43" spans="1:15" ht="12.75" customHeight="1">
      <c r="A43" s="27"/>
      <c r="B43" s="22" t="s">
        <v>58</v>
      </c>
      <c r="C43" s="33" t="s">
        <v>85</v>
      </c>
      <c r="D43" s="11"/>
      <c r="E43" s="24">
        <v>130378</v>
      </c>
      <c r="F43" s="24">
        <v>40000</v>
      </c>
      <c r="G43" s="24">
        <v>0</v>
      </c>
      <c r="H43" s="24">
        <v>135000</v>
      </c>
      <c r="I43" s="24">
        <v>0</v>
      </c>
      <c r="J43" s="24">
        <v>0</v>
      </c>
      <c r="K43" s="24">
        <v>100000</v>
      </c>
      <c r="L43" s="11">
        <v>0</v>
      </c>
      <c r="M43" s="28">
        <f t="shared" si="9"/>
        <v>100000</v>
      </c>
      <c r="N43" s="28">
        <v>0</v>
      </c>
      <c r="O43" s="9">
        <f t="shared" si="1"/>
        <v>0.0033898633729127</v>
      </c>
    </row>
    <row r="44" spans="1:15" ht="14.25" customHeight="1">
      <c r="A44" s="27"/>
      <c r="B44" s="22" t="s">
        <v>60</v>
      </c>
      <c r="C44" s="33" t="s">
        <v>61</v>
      </c>
      <c r="D44" s="11"/>
      <c r="E44" s="24">
        <v>33000</v>
      </c>
      <c r="F44" s="24">
        <v>5000</v>
      </c>
      <c r="G44" s="24">
        <v>0</v>
      </c>
      <c r="H44" s="24">
        <v>44000</v>
      </c>
      <c r="I44" s="24">
        <v>0</v>
      </c>
      <c r="J44" s="24">
        <v>0</v>
      </c>
      <c r="K44" s="24">
        <v>30000</v>
      </c>
      <c r="L44" s="11">
        <v>0</v>
      </c>
      <c r="M44" s="28">
        <f t="shared" si="9"/>
        <v>30000</v>
      </c>
      <c r="N44" s="28">
        <v>0</v>
      </c>
      <c r="O44" s="9">
        <f t="shared" si="1"/>
        <v>0.00101695901187381</v>
      </c>
    </row>
    <row r="45" spans="1:15" ht="13.5" customHeight="1">
      <c r="A45" s="27"/>
      <c r="B45" s="22" t="s">
        <v>62</v>
      </c>
      <c r="C45" s="33" t="s">
        <v>63</v>
      </c>
      <c r="D45" s="11"/>
      <c r="E45" s="24">
        <v>613990</v>
      </c>
      <c r="F45" s="24">
        <v>0</v>
      </c>
      <c r="G45" s="24">
        <v>500000</v>
      </c>
      <c r="H45" s="24">
        <v>5000</v>
      </c>
      <c r="I45" s="24">
        <v>0</v>
      </c>
      <c r="J45" s="24">
        <v>0</v>
      </c>
      <c r="K45" s="24">
        <v>5000</v>
      </c>
      <c r="L45" s="11">
        <v>0</v>
      </c>
      <c r="M45" s="28">
        <f t="shared" si="9"/>
        <v>5000</v>
      </c>
      <c r="N45" s="28">
        <v>0</v>
      </c>
      <c r="O45" s="9">
        <f t="shared" si="1"/>
        <v>0.000169493168645635</v>
      </c>
    </row>
    <row r="46" spans="1:15" ht="14.25" customHeight="1">
      <c r="A46" s="27"/>
      <c r="B46" s="22" t="s">
        <v>64</v>
      </c>
      <c r="C46" s="33" t="s">
        <v>65</v>
      </c>
      <c r="D46" s="11"/>
      <c r="E46" s="24">
        <v>828700</v>
      </c>
      <c r="F46" s="24">
        <v>0</v>
      </c>
      <c r="G46" s="24">
        <v>142451</v>
      </c>
      <c r="H46" s="24">
        <v>680913</v>
      </c>
      <c r="I46" s="24">
        <v>0</v>
      </c>
      <c r="J46" s="24">
        <v>0</v>
      </c>
      <c r="K46" s="24">
        <v>470973</v>
      </c>
      <c r="L46" s="11">
        <v>0</v>
      </c>
      <c r="M46" s="28">
        <v>470973</v>
      </c>
      <c r="N46" s="28">
        <v>0</v>
      </c>
      <c r="O46" s="9">
        <f t="shared" si="1"/>
        <v>0.01596534122330813</v>
      </c>
    </row>
    <row r="47" spans="1:15" ht="15.75" customHeight="1">
      <c r="A47" s="27"/>
      <c r="B47" s="22" t="s">
        <v>66</v>
      </c>
      <c r="C47" s="33" t="s">
        <v>67</v>
      </c>
      <c r="D47" s="11"/>
      <c r="E47" s="24">
        <v>660</v>
      </c>
      <c r="F47" s="24">
        <v>0</v>
      </c>
      <c r="G47" s="24">
        <v>300</v>
      </c>
      <c r="H47" s="24">
        <v>500</v>
      </c>
      <c r="I47" s="24">
        <v>0</v>
      </c>
      <c r="J47" s="24">
        <v>0</v>
      </c>
      <c r="K47" s="24">
        <v>500</v>
      </c>
      <c r="L47" s="11">
        <v>0</v>
      </c>
      <c r="M47" s="28">
        <f t="shared" si="9"/>
        <v>500</v>
      </c>
      <c r="N47" s="28">
        <v>0</v>
      </c>
      <c r="O47" s="9">
        <f t="shared" si="1"/>
        <v>1.69493168645635E-05</v>
      </c>
    </row>
    <row r="48" spans="1:15" ht="15.75" customHeight="1">
      <c r="A48" s="27"/>
      <c r="B48" s="22" t="s">
        <v>68</v>
      </c>
      <c r="C48" s="33" t="s">
        <v>69</v>
      </c>
      <c r="D48" s="11"/>
      <c r="E48" s="24">
        <v>23000</v>
      </c>
      <c r="F48" s="24">
        <v>500</v>
      </c>
      <c r="G48" s="24">
        <v>0</v>
      </c>
      <c r="H48" s="24">
        <v>20500</v>
      </c>
      <c r="I48" s="24">
        <v>0</v>
      </c>
      <c r="J48" s="24">
        <v>0</v>
      </c>
      <c r="K48" s="24">
        <v>19000</v>
      </c>
      <c r="L48" s="11">
        <v>0</v>
      </c>
      <c r="M48" s="28">
        <f t="shared" si="9"/>
        <v>19000</v>
      </c>
      <c r="N48" s="28">
        <v>0</v>
      </c>
      <c r="O48" s="9">
        <f t="shared" si="1"/>
        <v>0.000644074040853413</v>
      </c>
    </row>
    <row r="49" spans="1:15" ht="15.75" customHeight="1">
      <c r="A49" s="27"/>
      <c r="B49" s="22" t="s">
        <v>70</v>
      </c>
      <c r="C49" s="33" t="s">
        <v>71</v>
      </c>
      <c r="D49" s="11"/>
      <c r="E49" s="24">
        <v>14893</v>
      </c>
      <c r="F49" s="24">
        <v>0</v>
      </c>
      <c r="G49" s="24">
        <v>0</v>
      </c>
      <c r="H49" s="24">
        <v>14500</v>
      </c>
      <c r="I49" s="24">
        <v>318</v>
      </c>
      <c r="J49" s="24">
        <v>0</v>
      </c>
      <c r="K49" s="24">
        <v>12500</v>
      </c>
      <c r="L49" s="11">
        <v>0</v>
      </c>
      <c r="M49" s="28">
        <f t="shared" si="9"/>
        <v>12500</v>
      </c>
      <c r="N49" s="28">
        <v>0</v>
      </c>
      <c r="O49" s="9">
        <f t="shared" si="1"/>
        <v>0.0004237329216140875</v>
      </c>
    </row>
    <row r="50" spans="1:15" ht="14.25" customHeight="1">
      <c r="A50" s="27"/>
      <c r="B50" s="22" t="s">
        <v>86</v>
      </c>
      <c r="C50" s="33" t="s">
        <v>87</v>
      </c>
      <c r="D50" s="11"/>
      <c r="E50" s="24">
        <v>8147</v>
      </c>
      <c r="F50" s="24">
        <v>0</v>
      </c>
      <c r="G50" s="24">
        <v>0</v>
      </c>
      <c r="H50" s="24">
        <v>3000</v>
      </c>
      <c r="I50" s="24">
        <v>2744</v>
      </c>
      <c r="J50" s="24">
        <v>0</v>
      </c>
      <c r="K50" s="24">
        <v>7500</v>
      </c>
      <c r="L50" s="11">
        <v>0</v>
      </c>
      <c r="M50" s="28">
        <f t="shared" si="9"/>
        <v>7500</v>
      </c>
      <c r="N50" s="28">
        <v>0</v>
      </c>
      <c r="O50" s="9">
        <f t="shared" si="1"/>
        <v>0.0002542397529684525</v>
      </c>
    </row>
    <row r="51" spans="1:15" ht="17.25" customHeight="1" hidden="1">
      <c r="A51" s="27"/>
      <c r="B51" s="22" t="s">
        <v>88</v>
      </c>
      <c r="C51" s="14" t="s">
        <v>89</v>
      </c>
      <c r="D51" s="11">
        <v>520000</v>
      </c>
      <c r="E51" s="24">
        <v>0</v>
      </c>
      <c r="F51" s="24"/>
      <c r="G51" s="24"/>
      <c r="H51" s="24"/>
      <c r="I51" s="24"/>
      <c r="J51" s="24"/>
      <c r="K51" s="24"/>
      <c r="L51" s="11"/>
      <c r="M51" s="28">
        <f t="shared" si="9"/>
        <v>0</v>
      </c>
      <c r="N51" s="28"/>
      <c r="O51" s="9">
        <f t="shared" si="1"/>
        <v>0</v>
      </c>
    </row>
    <row r="52" spans="1:15" ht="15" customHeight="1">
      <c r="A52" s="27"/>
      <c r="B52" s="22" t="s">
        <v>88</v>
      </c>
      <c r="C52" s="14" t="s">
        <v>90</v>
      </c>
      <c r="D52" s="11"/>
      <c r="E52" s="24">
        <v>132020</v>
      </c>
      <c r="F52" s="24">
        <v>700000</v>
      </c>
      <c r="G52" s="24">
        <v>0</v>
      </c>
      <c r="H52" s="24">
        <v>1416950</v>
      </c>
      <c r="I52" s="24">
        <v>0</v>
      </c>
      <c r="J52" s="24">
        <v>0</v>
      </c>
      <c r="K52" s="24">
        <v>2277200</v>
      </c>
      <c r="L52" s="11">
        <v>0</v>
      </c>
      <c r="M52" s="28">
        <f t="shared" si="9"/>
        <v>2277200</v>
      </c>
      <c r="N52" s="28">
        <v>0</v>
      </c>
      <c r="O52" s="9">
        <f t="shared" si="1"/>
        <v>0.07719396872796801</v>
      </c>
    </row>
    <row r="53" spans="1:15" ht="22.5" customHeight="1" hidden="1">
      <c r="A53" s="27" t="s">
        <v>798</v>
      </c>
      <c r="B53" s="22"/>
      <c r="C53" s="14"/>
      <c r="D53" s="11"/>
      <c r="E53" s="24">
        <v>0</v>
      </c>
      <c r="F53" s="24">
        <v>100000</v>
      </c>
      <c r="G53" s="24">
        <v>0</v>
      </c>
      <c r="H53" s="24">
        <v>99988</v>
      </c>
      <c r="I53" s="24">
        <v>0</v>
      </c>
      <c r="J53" s="24">
        <v>0</v>
      </c>
      <c r="K53" s="24">
        <v>0</v>
      </c>
      <c r="L53" s="11">
        <v>0</v>
      </c>
      <c r="M53" s="25">
        <v>0</v>
      </c>
      <c r="N53" s="28">
        <f>K53</f>
        <v>0</v>
      </c>
      <c r="O53" s="9">
        <f t="shared" si="1"/>
        <v>0</v>
      </c>
    </row>
    <row r="54" spans="1:15" ht="23.25" customHeight="1" hidden="1">
      <c r="A54" s="27"/>
      <c r="B54" s="22" t="s">
        <v>91</v>
      </c>
      <c r="C54" s="14"/>
      <c r="D54" s="11">
        <v>0</v>
      </c>
      <c r="E54" s="24">
        <v>60000</v>
      </c>
      <c r="F54" s="24">
        <v>0</v>
      </c>
      <c r="G54" s="24">
        <v>3758</v>
      </c>
      <c r="H54" s="24">
        <v>0</v>
      </c>
      <c r="I54" s="24">
        <v>0</v>
      </c>
      <c r="J54" s="24">
        <v>0</v>
      </c>
      <c r="K54" s="24"/>
      <c r="L54" s="11"/>
      <c r="M54" s="25"/>
      <c r="N54" s="28"/>
      <c r="O54" s="9">
        <f t="shared" si="1"/>
        <v>0</v>
      </c>
    </row>
    <row r="55" spans="1:15" ht="27.75" customHeight="1" hidden="1">
      <c r="A55" s="27"/>
      <c r="B55" s="22" t="s">
        <v>92</v>
      </c>
      <c r="C55" s="14"/>
      <c r="D55" s="11"/>
      <c r="E55" s="24">
        <v>410722</v>
      </c>
      <c r="F55" s="24">
        <v>0</v>
      </c>
      <c r="G55" s="24">
        <v>0</v>
      </c>
      <c r="H55" s="24">
        <v>84349</v>
      </c>
      <c r="I55" s="24">
        <v>0</v>
      </c>
      <c r="J55" s="24">
        <v>0</v>
      </c>
      <c r="K55" s="24">
        <v>0</v>
      </c>
      <c r="L55" s="11">
        <v>0</v>
      </c>
      <c r="M55" s="25">
        <v>0</v>
      </c>
      <c r="N55" s="28">
        <f>K55</f>
        <v>0</v>
      </c>
      <c r="O55" s="9">
        <f t="shared" si="1"/>
        <v>0</v>
      </c>
    </row>
    <row r="56" spans="1:15" ht="13.5" customHeight="1">
      <c r="A56" s="27"/>
      <c r="B56" s="22" t="s">
        <v>92</v>
      </c>
      <c r="C56" s="14" t="s">
        <v>825</v>
      </c>
      <c r="D56" s="11"/>
      <c r="E56" s="24"/>
      <c r="F56" s="24"/>
      <c r="G56" s="24"/>
      <c r="H56" s="24"/>
      <c r="I56" s="24"/>
      <c r="J56" s="24"/>
      <c r="K56" s="24">
        <v>30892</v>
      </c>
      <c r="L56" s="11">
        <v>0</v>
      </c>
      <c r="M56" s="25">
        <v>0</v>
      </c>
      <c r="N56" s="28">
        <f>K56</f>
        <v>30892</v>
      </c>
      <c r="O56" s="9">
        <f t="shared" si="1"/>
        <v>0.0010471965931601913</v>
      </c>
    </row>
    <row r="57" spans="1:15" ht="13.5" customHeight="1">
      <c r="A57" s="27"/>
      <c r="B57" s="22" t="s">
        <v>112</v>
      </c>
      <c r="C57" s="14" t="s">
        <v>113</v>
      </c>
      <c r="D57" s="11"/>
      <c r="E57" s="24"/>
      <c r="F57" s="24"/>
      <c r="G57" s="24"/>
      <c r="H57" s="24"/>
      <c r="I57" s="24"/>
      <c r="J57" s="24"/>
      <c r="K57" s="24">
        <v>40000</v>
      </c>
      <c r="L57" s="11">
        <v>0</v>
      </c>
      <c r="M57" s="25">
        <v>0</v>
      </c>
      <c r="N57" s="28">
        <f>K57</f>
        <v>40000</v>
      </c>
      <c r="O57" s="9"/>
    </row>
    <row r="58" spans="1:15" ht="27.75" customHeight="1">
      <c r="A58" s="30" t="s">
        <v>798</v>
      </c>
      <c r="B58" s="31"/>
      <c r="C58" s="7" t="s">
        <v>799</v>
      </c>
      <c r="D58" s="10"/>
      <c r="E58" s="10"/>
      <c r="F58" s="10"/>
      <c r="G58" s="10"/>
      <c r="H58" s="10"/>
      <c r="I58" s="10"/>
      <c r="J58" s="10"/>
      <c r="K58" s="10">
        <f aca="true" t="shared" si="10" ref="K58:N59">K59</f>
        <v>44390</v>
      </c>
      <c r="L58" s="10">
        <f t="shared" si="10"/>
        <v>0</v>
      </c>
      <c r="M58" s="10">
        <f t="shared" si="10"/>
        <v>0</v>
      </c>
      <c r="N58" s="10">
        <f t="shared" si="10"/>
        <v>44390</v>
      </c>
      <c r="O58" s="9">
        <f t="shared" si="1"/>
        <v>0.0015047603512359476</v>
      </c>
    </row>
    <row r="59" spans="1:15" ht="23.25" customHeight="1">
      <c r="A59" s="27" t="s">
        <v>800</v>
      </c>
      <c r="B59" s="22"/>
      <c r="C59" s="14" t="s">
        <v>796</v>
      </c>
      <c r="D59" s="11"/>
      <c r="E59" s="24"/>
      <c r="F59" s="24"/>
      <c r="G59" s="24"/>
      <c r="H59" s="24"/>
      <c r="I59" s="24"/>
      <c r="J59" s="24"/>
      <c r="K59" s="24">
        <f t="shared" si="10"/>
        <v>44390</v>
      </c>
      <c r="L59" s="24">
        <f t="shared" si="10"/>
        <v>0</v>
      </c>
      <c r="M59" s="24">
        <f t="shared" si="10"/>
        <v>0</v>
      </c>
      <c r="N59" s="24">
        <f t="shared" si="10"/>
        <v>44390</v>
      </c>
      <c r="O59" s="9">
        <f t="shared" si="1"/>
        <v>0.0015047603512359476</v>
      </c>
    </row>
    <row r="60" spans="1:15" ht="27.75" customHeight="1">
      <c r="A60" s="27"/>
      <c r="B60" s="22" t="s">
        <v>92</v>
      </c>
      <c r="C60" s="14" t="s">
        <v>801</v>
      </c>
      <c r="D60" s="11"/>
      <c r="E60" s="24"/>
      <c r="F60" s="24"/>
      <c r="G60" s="24"/>
      <c r="H60" s="24"/>
      <c r="I60" s="24"/>
      <c r="J60" s="24"/>
      <c r="K60" s="24">
        <v>44390</v>
      </c>
      <c r="L60" s="11">
        <v>0</v>
      </c>
      <c r="M60" s="25">
        <v>0</v>
      </c>
      <c r="N60" s="28">
        <f>K60</f>
        <v>44390</v>
      </c>
      <c r="O60" s="9">
        <f t="shared" si="1"/>
        <v>0.0015047603512359476</v>
      </c>
    </row>
    <row r="61" spans="1:15" ht="38.25" customHeight="1">
      <c r="A61" s="21" t="s">
        <v>93</v>
      </c>
      <c r="B61" s="31"/>
      <c r="C61" s="7" t="s">
        <v>94</v>
      </c>
      <c r="D61" s="10">
        <f aca="true" t="shared" si="11" ref="D61:N61">D62</f>
        <v>15000</v>
      </c>
      <c r="E61" s="10">
        <f t="shared" si="11"/>
        <v>37000</v>
      </c>
      <c r="F61" s="10">
        <f t="shared" si="11"/>
        <v>3693</v>
      </c>
      <c r="G61" s="10">
        <f t="shared" si="11"/>
        <v>3693</v>
      </c>
      <c r="H61" s="10">
        <f t="shared" si="11"/>
        <v>39300</v>
      </c>
      <c r="I61" s="10">
        <f>I62</f>
        <v>0</v>
      </c>
      <c r="J61" s="10">
        <f>J62</f>
        <v>0</v>
      </c>
      <c r="K61" s="10">
        <f>K62</f>
        <v>58305</v>
      </c>
      <c r="L61" s="10">
        <f t="shared" si="11"/>
        <v>22000</v>
      </c>
      <c r="M61" s="10">
        <f t="shared" si="11"/>
        <v>36305</v>
      </c>
      <c r="N61" s="23">
        <f t="shared" si="11"/>
        <v>0</v>
      </c>
      <c r="O61" s="9">
        <f t="shared" si="1"/>
        <v>0.00197645983957675</v>
      </c>
    </row>
    <row r="62" spans="1:15" ht="27.75" customHeight="1">
      <c r="A62" s="21" t="s">
        <v>95</v>
      </c>
      <c r="B62" s="22"/>
      <c r="C62" s="7" t="s">
        <v>96</v>
      </c>
      <c r="D62" s="10">
        <f>D64</f>
        <v>15000</v>
      </c>
      <c r="E62" s="10">
        <f>E64+E63</f>
        <v>37000</v>
      </c>
      <c r="F62" s="10">
        <f>F64+F63</f>
        <v>3693</v>
      </c>
      <c r="G62" s="10">
        <f>G64+G63</f>
        <v>3693</v>
      </c>
      <c r="H62" s="10">
        <f>H63+H64+H65</f>
        <v>39300</v>
      </c>
      <c r="I62" s="10">
        <f>I63+I64+I65</f>
        <v>0</v>
      </c>
      <c r="J62" s="10">
        <f>J63+J64+J65</f>
        <v>0</v>
      </c>
      <c r="K62" s="10">
        <f>K63+K64+K65+K66+K67</f>
        <v>58305</v>
      </c>
      <c r="L62" s="10">
        <f>L63+L64+L65+L66+L67</f>
        <v>22000</v>
      </c>
      <c r="M62" s="10">
        <f>M63+M64+M65+M66+M67</f>
        <v>36305</v>
      </c>
      <c r="N62" s="10">
        <f>N63+N64+N65+N66+N67</f>
        <v>0</v>
      </c>
      <c r="O62" s="9">
        <f t="shared" si="1"/>
        <v>0.00197645983957675</v>
      </c>
    </row>
    <row r="63" spans="1:15" ht="16.5" customHeight="1">
      <c r="A63" s="21"/>
      <c r="B63" s="22" t="s">
        <v>60</v>
      </c>
      <c r="C63" s="33" t="s">
        <v>61</v>
      </c>
      <c r="D63" s="24"/>
      <c r="E63" s="24">
        <v>20000</v>
      </c>
      <c r="F63" s="24">
        <v>3693</v>
      </c>
      <c r="G63" s="24">
        <v>0</v>
      </c>
      <c r="H63" s="24">
        <v>7615</v>
      </c>
      <c r="I63" s="24">
        <v>0</v>
      </c>
      <c r="J63" s="24">
        <v>0</v>
      </c>
      <c r="K63" s="24">
        <v>11495</v>
      </c>
      <c r="L63" s="24">
        <v>2900</v>
      </c>
      <c r="M63" s="25">
        <f>K63-L63</f>
        <v>8595</v>
      </c>
      <c r="N63" s="25">
        <v>0</v>
      </c>
      <c r="O63" s="9">
        <f t="shared" si="1"/>
        <v>0.00038966479471631485</v>
      </c>
    </row>
    <row r="64" spans="1:15" ht="17.25" customHeight="1">
      <c r="A64" s="32"/>
      <c r="B64" s="22" t="s">
        <v>64</v>
      </c>
      <c r="C64" s="33" t="s">
        <v>65</v>
      </c>
      <c r="D64" s="11">
        <v>15000</v>
      </c>
      <c r="E64" s="24">
        <v>17000</v>
      </c>
      <c r="F64" s="24">
        <v>0</v>
      </c>
      <c r="G64" s="24">
        <v>3693</v>
      </c>
      <c r="H64" s="24">
        <v>31485</v>
      </c>
      <c r="I64" s="24">
        <v>0</v>
      </c>
      <c r="J64" s="24">
        <v>0</v>
      </c>
      <c r="K64" s="24">
        <v>38100</v>
      </c>
      <c r="L64" s="24">
        <v>10780</v>
      </c>
      <c r="M64" s="25">
        <f>K64-L64</f>
        <v>27320</v>
      </c>
      <c r="N64" s="28">
        <v>0</v>
      </c>
      <c r="O64" s="9">
        <f t="shared" si="1"/>
        <v>0.0012915379450797388</v>
      </c>
    </row>
    <row r="65" spans="1:15" ht="17.25" customHeight="1">
      <c r="A65" s="32"/>
      <c r="B65" s="22" t="s">
        <v>86</v>
      </c>
      <c r="C65" s="33" t="s">
        <v>87</v>
      </c>
      <c r="D65" s="11"/>
      <c r="E65" s="24"/>
      <c r="F65" s="24"/>
      <c r="G65" s="24"/>
      <c r="H65" s="24">
        <v>200</v>
      </c>
      <c r="I65" s="24">
        <v>0</v>
      </c>
      <c r="J65" s="24">
        <v>0</v>
      </c>
      <c r="K65" s="24">
        <v>1710</v>
      </c>
      <c r="L65" s="24">
        <v>1320</v>
      </c>
      <c r="M65" s="25">
        <f>K65-L65</f>
        <v>390</v>
      </c>
      <c r="N65" s="28">
        <v>0</v>
      </c>
      <c r="O65" s="9">
        <f t="shared" si="1"/>
        <v>5.796666367680717E-05</v>
      </c>
    </row>
    <row r="66" spans="1:15" ht="17.25" customHeight="1">
      <c r="A66" s="32"/>
      <c r="B66" s="22" t="s">
        <v>761</v>
      </c>
      <c r="C66" s="33" t="s">
        <v>762</v>
      </c>
      <c r="D66" s="11"/>
      <c r="E66" s="24"/>
      <c r="F66" s="24"/>
      <c r="G66" s="24"/>
      <c r="H66" s="24"/>
      <c r="I66" s="24"/>
      <c r="J66" s="24"/>
      <c r="K66" s="24">
        <v>213</v>
      </c>
      <c r="L66" s="24">
        <v>213</v>
      </c>
      <c r="M66" s="25">
        <f>K66-L66</f>
        <v>0</v>
      </c>
      <c r="N66" s="28">
        <v>0</v>
      </c>
      <c r="O66" s="9">
        <f t="shared" si="1"/>
        <v>7.220408984304051E-06</v>
      </c>
    </row>
    <row r="67" spans="1:15" ht="17.25" customHeight="1">
      <c r="A67" s="32"/>
      <c r="B67" s="22" t="s">
        <v>286</v>
      </c>
      <c r="C67" s="33" t="s">
        <v>763</v>
      </c>
      <c r="D67" s="11"/>
      <c r="E67" s="24"/>
      <c r="F67" s="24"/>
      <c r="G67" s="24"/>
      <c r="H67" s="24"/>
      <c r="I67" s="24"/>
      <c r="J67" s="24"/>
      <c r="K67" s="24">
        <v>6787</v>
      </c>
      <c r="L67" s="24">
        <v>6787</v>
      </c>
      <c r="M67" s="25">
        <f>K67-L67</f>
        <v>0</v>
      </c>
      <c r="N67" s="28">
        <v>0</v>
      </c>
      <c r="O67" s="9">
        <f t="shared" si="1"/>
        <v>0.00023007002711958495</v>
      </c>
    </row>
    <row r="68" spans="1:15" ht="15" customHeight="1">
      <c r="A68" s="21" t="s">
        <v>98</v>
      </c>
      <c r="B68" s="31"/>
      <c r="C68" s="7" t="s">
        <v>99</v>
      </c>
      <c r="D68" s="10">
        <f aca="true" t="shared" si="12" ref="D68:N68">D69+D71+D73</f>
        <v>170602</v>
      </c>
      <c r="E68" s="10">
        <f t="shared" si="12"/>
        <v>139020</v>
      </c>
      <c r="F68" s="10">
        <f t="shared" si="12"/>
        <v>0</v>
      </c>
      <c r="G68" s="10">
        <f t="shared" si="12"/>
        <v>0</v>
      </c>
      <c r="H68" s="10">
        <f t="shared" si="12"/>
        <v>114563</v>
      </c>
      <c r="I68" s="10">
        <f t="shared" si="12"/>
        <v>806</v>
      </c>
      <c r="J68" s="10">
        <f t="shared" si="12"/>
        <v>806</v>
      </c>
      <c r="K68" s="10">
        <f>K69+K71+K73</f>
        <v>137866</v>
      </c>
      <c r="L68" s="10">
        <f t="shared" si="12"/>
        <v>137866</v>
      </c>
      <c r="M68" s="23">
        <f t="shared" si="12"/>
        <v>0</v>
      </c>
      <c r="N68" s="23">
        <f t="shared" si="12"/>
        <v>0</v>
      </c>
      <c r="O68" s="9">
        <f t="shared" si="1"/>
        <v>0.004673469037699823</v>
      </c>
    </row>
    <row r="69" spans="1:15" ht="24.75" customHeight="1">
      <c r="A69" s="21" t="s">
        <v>100</v>
      </c>
      <c r="B69" s="31"/>
      <c r="C69" s="7" t="s">
        <v>101</v>
      </c>
      <c r="D69" s="10">
        <f aca="true" t="shared" si="13" ref="D69:N69">D70</f>
        <v>79900</v>
      </c>
      <c r="E69" s="10">
        <f t="shared" si="13"/>
        <v>52100</v>
      </c>
      <c r="F69" s="10">
        <f t="shared" si="13"/>
        <v>0</v>
      </c>
      <c r="G69" s="10">
        <f t="shared" si="13"/>
        <v>0</v>
      </c>
      <c r="H69" s="10">
        <f t="shared" si="13"/>
        <v>35000</v>
      </c>
      <c r="I69" s="10">
        <f t="shared" si="13"/>
        <v>0</v>
      </c>
      <c r="J69" s="10">
        <f t="shared" si="13"/>
        <v>0</v>
      </c>
      <c r="K69" s="10">
        <f t="shared" si="13"/>
        <v>52000</v>
      </c>
      <c r="L69" s="10">
        <f t="shared" si="13"/>
        <v>52000</v>
      </c>
      <c r="M69" s="23">
        <f t="shared" si="13"/>
        <v>0</v>
      </c>
      <c r="N69" s="23">
        <f t="shared" si="13"/>
        <v>0</v>
      </c>
      <c r="O69" s="9">
        <f t="shared" si="1"/>
        <v>0.001762728953914604</v>
      </c>
    </row>
    <row r="70" spans="1:15" ht="16.5" customHeight="1">
      <c r="A70" s="32"/>
      <c r="B70" s="22" t="s">
        <v>64</v>
      </c>
      <c r="C70" s="33" t="s">
        <v>65</v>
      </c>
      <c r="D70" s="11">
        <v>79900</v>
      </c>
      <c r="E70" s="24">
        <v>52100</v>
      </c>
      <c r="F70" s="24">
        <v>0</v>
      </c>
      <c r="G70" s="24">
        <v>0</v>
      </c>
      <c r="H70" s="24">
        <v>35000</v>
      </c>
      <c r="I70" s="24">
        <v>0</v>
      </c>
      <c r="J70" s="24">
        <v>0</v>
      </c>
      <c r="K70" s="24">
        <v>52000</v>
      </c>
      <c r="L70" s="24">
        <f>K70</f>
        <v>52000</v>
      </c>
      <c r="M70" s="28">
        <v>0</v>
      </c>
      <c r="N70" s="28">
        <v>0</v>
      </c>
      <c r="O70" s="9">
        <f t="shared" si="1"/>
        <v>0.001762728953914604</v>
      </c>
    </row>
    <row r="71" spans="1:15" ht="29.25" customHeight="1">
      <c r="A71" s="21" t="s">
        <v>102</v>
      </c>
      <c r="B71" s="31"/>
      <c r="C71" s="7" t="s">
        <v>103</v>
      </c>
      <c r="D71" s="10">
        <f aca="true" t="shared" si="14" ref="D71:N71">D72</f>
        <v>20000</v>
      </c>
      <c r="E71" s="10">
        <f t="shared" si="14"/>
        <v>8000</v>
      </c>
      <c r="F71" s="10">
        <f t="shared" si="14"/>
        <v>0</v>
      </c>
      <c r="G71" s="10">
        <f t="shared" si="14"/>
        <v>0</v>
      </c>
      <c r="H71" s="10">
        <f t="shared" si="14"/>
        <v>4000</v>
      </c>
      <c r="I71" s="10">
        <f t="shared" si="14"/>
        <v>0</v>
      </c>
      <c r="J71" s="10">
        <f t="shared" si="14"/>
        <v>0</v>
      </c>
      <c r="K71" s="10">
        <f t="shared" si="14"/>
        <v>4000</v>
      </c>
      <c r="L71" s="10">
        <f t="shared" si="14"/>
        <v>4000</v>
      </c>
      <c r="M71" s="23">
        <f t="shared" si="14"/>
        <v>0</v>
      </c>
      <c r="N71" s="23">
        <f t="shared" si="14"/>
        <v>0</v>
      </c>
      <c r="O71" s="9">
        <f t="shared" si="1"/>
        <v>0.000135594534916508</v>
      </c>
    </row>
    <row r="72" spans="1:15" ht="16.5" customHeight="1">
      <c r="A72" s="32"/>
      <c r="B72" s="22" t="s">
        <v>64</v>
      </c>
      <c r="C72" s="33" t="s">
        <v>65</v>
      </c>
      <c r="D72" s="11">
        <v>20000</v>
      </c>
      <c r="E72" s="24">
        <v>8000</v>
      </c>
      <c r="F72" s="24">
        <v>0</v>
      </c>
      <c r="G72" s="24">
        <v>0</v>
      </c>
      <c r="H72" s="24">
        <v>4000</v>
      </c>
      <c r="I72" s="24">
        <v>0</v>
      </c>
      <c r="J72" s="24">
        <v>0</v>
      </c>
      <c r="K72" s="24">
        <v>4000</v>
      </c>
      <c r="L72" s="24">
        <f>K72</f>
        <v>4000</v>
      </c>
      <c r="M72" s="28">
        <v>0</v>
      </c>
      <c r="N72" s="28">
        <v>0</v>
      </c>
      <c r="O72" s="9">
        <f t="shared" si="1"/>
        <v>0.000135594534916508</v>
      </c>
    </row>
    <row r="73" spans="1:15" ht="15.75" customHeight="1">
      <c r="A73" s="21" t="s">
        <v>104</v>
      </c>
      <c r="B73" s="31"/>
      <c r="C73" s="7" t="s">
        <v>105</v>
      </c>
      <c r="D73" s="10">
        <f>D74+D76+D77+D79</f>
        <v>70702</v>
      </c>
      <c r="E73" s="10">
        <f>E74+E76+E77+E78+E79+E80+E81+E82+E83</f>
        <v>78920</v>
      </c>
      <c r="F73" s="10">
        <f>F74+F76+F77+F78+F79+F80+F81+F82+F83</f>
        <v>0</v>
      </c>
      <c r="G73" s="10">
        <f>G74+G76+G77+G78+G79+G80+G81+G82+G83</f>
        <v>0</v>
      </c>
      <c r="H73" s="10">
        <f>H74+H76+H77+H78+H79+H80+H81+H82+H83+H75</f>
        <v>75563</v>
      </c>
      <c r="I73" s="10">
        <f>I74+I76+I77+I78+I79+I80+I81+I82+I83+I75</f>
        <v>806</v>
      </c>
      <c r="J73" s="10">
        <f>J74+J76+J77+J78+J79+J80+J81+J82+J83+J76</f>
        <v>806</v>
      </c>
      <c r="K73" s="10">
        <f>K74+K76+K77+K78+K79+K80+K81+K82+K83+K75</f>
        <v>81866</v>
      </c>
      <c r="L73" s="10">
        <f>L74+L76+L77+L78+L79+L80+L81+L82+L83+L75</f>
        <v>81866</v>
      </c>
      <c r="M73" s="23">
        <f>M74+M76+M77+M78+M79+M80+M81+M82+M83+M75</f>
        <v>0</v>
      </c>
      <c r="N73" s="23">
        <f>N74+N76+N77+N78+N79+N80+N81+N82+N83+N75</f>
        <v>0</v>
      </c>
      <c r="O73" s="9">
        <f t="shared" si="1"/>
        <v>0.002775145548868711</v>
      </c>
    </row>
    <row r="74" spans="1:15" ht="12" customHeight="1">
      <c r="A74" s="32"/>
      <c r="B74" s="22" t="s">
        <v>48</v>
      </c>
      <c r="C74" s="33" t="s">
        <v>749</v>
      </c>
      <c r="D74" s="11">
        <v>49324</v>
      </c>
      <c r="E74" s="24">
        <v>53163</v>
      </c>
      <c r="F74" s="24">
        <v>0</v>
      </c>
      <c r="G74" s="24">
        <v>0</v>
      </c>
      <c r="H74" s="24">
        <v>32400</v>
      </c>
      <c r="I74" s="24">
        <v>0</v>
      </c>
      <c r="J74" s="24">
        <v>0</v>
      </c>
      <c r="K74" s="24">
        <v>34560</v>
      </c>
      <c r="L74" s="24">
        <f>K74</f>
        <v>34560</v>
      </c>
      <c r="M74" s="28">
        <v>0</v>
      </c>
      <c r="N74" s="28">
        <v>0</v>
      </c>
      <c r="O74" s="9">
        <f t="shared" si="1"/>
        <v>0.001171536781678629</v>
      </c>
    </row>
    <row r="75" spans="1:15" ht="14.25" customHeight="1">
      <c r="A75" s="32"/>
      <c r="B75" s="22" t="s">
        <v>50</v>
      </c>
      <c r="C75" s="14" t="s">
        <v>750</v>
      </c>
      <c r="D75" s="11"/>
      <c r="E75" s="24"/>
      <c r="F75" s="24"/>
      <c r="G75" s="24"/>
      <c r="H75" s="24">
        <v>20640</v>
      </c>
      <c r="I75" s="24">
        <v>0</v>
      </c>
      <c r="J75" s="24">
        <v>0</v>
      </c>
      <c r="K75" s="24">
        <v>22800</v>
      </c>
      <c r="L75" s="24">
        <f aca="true" t="shared" si="15" ref="L75:L83">K75</f>
        <v>22800</v>
      </c>
      <c r="M75" s="28">
        <v>0</v>
      </c>
      <c r="N75" s="28">
        <v>0</v>
      </c>
      <c r="O75" s="9">
        <f t="shared" si="1"/>
        <v>0.0007728888490240956</v>
      </c>
    </row>
    <row r="76" spans="1:15" ht="14.25" customHeight="1">
      <c r="A76" s="32"/>
      <c r="B76" s="22" t="s">
        <v>52</v>
      </c>
      <c r="C76" s="33" t="s">
        <v>53</v>
      </c>
      <c r="D76" s="11">
        <v>2600</v>
      </c>
      <c r="E76" s="24">
        <v>4103</v>
      </c>
      <c r="F76" s="24">
        <v>0</v>
      </c>
      <c r="G76" s="24">
        <v>0</v>
      </c>
      <c r="H76" s="24">
        <v>4633</v>
      </c>
      <c r="I76" s="24">
        <v>0</v>
      </c>
      <c r="J76" s="24">
        <v>0</v>
      </c>
      <c r="K76" s="24">
        <v>4508</v>
      </c>
      <c r="L76" s="24">
        <f t="shared" si="15"/>
        <v>4508</v>
      </c>
      <c r="M76" s="28">
        <v>0</v>
      </c>
      <c r="N76" s="28">
        <v>0</v>
      </c>
      <c r="O76" s="9">
        <f t="shared" si="1"/>
        <v>0.00015281504085090452</v>
      </c>
    </row>
    <row r="77" spans="1:15" ht="15" customHeight="1">
      <c r="A77" s="32"/>
      <c r="B77" s="29" t="s">
        <v>106</v>
      </c>
      <c r="C77" s="33" t="s">
        <v>83</v>
      </c>
      <c r="D77" s="11">
        <v>10556</v>
      </c>
      <c r="E77" s="24">
        <v>10240</v>
      </c>
      <c r="F77" s="24">
        <v>0</v>
      </c>
      <c r="G77" s="24">
        <v>0</v>
      </c>
      <c r="H77" s="24">
        <v>10312</v>
      </c>
      <c r="I77" s="24">
        <v>0</v>
      </c>
      <c r="J77" s="24">
        <v>0</v>
      </c>
      <c r="K77" s="24">
        <v>11576</v>
      </c>
      <c r="L77" s="24">
        <f t="shared" si="15"/>
        <v>11576</v>
      </c>
      <c r="M77" s="28">
        <v>0</v>
      </c>
      <c r="N77" s="28">
        <v>0</v>
      </c>
      <c r="O77" s="9">
        <f t="shared" si="1"/>
        <v>0.00039241058404837416</v>
      </c>
    </row>
    <row r="78" spans="1:15" ht="14.25" customHeight="1">
      <c r="A78" s="32"/>
      <c r="B78" s="29" t="s">
        <v>56</v>
      </c>
      <c r="C78" s="33" t="s">
        <v>57</v>
      </c>
      <c r="D78" s="11"/>
      <c r="E78" s="24">
        <v>1403</v>
      </c>
      <c r="F78" s="24">
        <v>0</v>
      </c>
      <c r="G78" s="24">
        <v>0</v>
      </c>
      <c r="H78" s="24">
        <v>1413</v>
      </c>
      <c r="I78" s="24">
        <v>0</v>
      </c>
      <c r="J78" s="24">
        <v>0</v>
      </c>
      <c r="K78" s="24">
        <v>1708</v>
      </c>
      <c r="L78" s="24">
        <f t="shared" si="15"/>
        <v>1708</v>
      </c>
      <c r="M78" s="28">
        <v>0</v>
      </c>
      <c r="N78" s="28">
        <v>0</v>
      </c>
      <c r="O78" s="9">
        <f t="shared" si="1"/>
        <v>5.7898866409348915E-05</v>
      </c>
    </row>
    <row r="79" spans="1:15" ht="18.75" customHeight="1" hidden="1">
      <c r="A79" s="32"/>
      <c r="B79" s="22"/>
      <c r="C79" s="33" t="s">
        <v>97</v>
      </c>
      <c r="D79" s="11">
        <v>8222</v>
      </c>
      <c r="E79" s="24">
        <v>0</v>
      </c>
      <c r="F79" s="24">
        <v>0</v>
      </c>
      <c r="G79" s="24">
        <v>0</v>
      </c>
      <c r="H79" s="24">
        <v>0</v>
      </c>
      <c r="I79" s="24">
        <v>0</v>
      </c>
      <c r="J79" s="24">
        <v>0</v>
      </c>
      <c r="K79" s="24"/>
      <c r="L79" s="24">
        <f t="shared" si="15"/>
        <v>0</v>
      </c>
      <c r="M79" s="28"/>
      <c r="N79" s="28"/>
      <c r="O79" s="9">
        <f t="shared" si="1"/>
        <v>0</v>
      </c>
    </row>
    <row r="80" spans="1:15" ht="13.5" customHeight="1">
      <c r="A80" s="32"/>
      <c r="B80" s="22" t="s">
        <v>58</v>
      </c>
      <c r="C80" s="33" t="s">
        <v>85</v>
      </c>
      <c r="D80" s="11"/>
      <c r="E80" s="24">
        <v>2270</v>
      </c>
      <c r="F80" s="24">
        <v>0</v>
      </c>
      <c r="G80" s="24">
        <v>0</v>
      </c>
      <c r="H80" s="24">
        <v>390</v>
      </c>
      <c r="I80" s="24">
        <v>0</v>
      </c>
      <c r="J80" s="24">
        <v>0</v>
      </c>
      <c r="K80" s="24">
        <v>300</v>
      </c>
      <c r="L80" s="24">
        <f t="shared" si="15"/>
        <v>300</v>
      </c>
      <c r="M80" s="28">
        <v>0</v>
      </c>
      <c r="N80" s="28">
        <v>0</v>
      </c>
      <c r="O80" s="9">
        <f t="shared" si="1"/>
        <v>1.0169590118738101E-05</v>
      </c>
    </row>
    <row r="81" spans="1:15" ht="12.75" customHeight="1">
      <c r="A81" s="32"/>
      <c r="B81" s="22" t="s">
        <v>64</v>
      </c>
      <c r="C81" s="33" t="s">
        <v>65</v>
      </c>
      <c r="D81" s="11"/>
      <c r="E81" s="24">
        <v>4000</v>
      </c>
      <c r="F81" s="24">
        <v>0</v>
      </c>
      <c r="G81" s="24">
        <v>0</v>
      </c>
      <c r="H81" s="24">
        <v>1868</v>
      </c>
      <c r="I81" s="24">
        <v>806</v>
      </c>
      <c r="J81" s="24">
        <v>0</v>
      </c>
      <c r="K81" s="24">
        <v>3097</v>
      </c>
      <c r="L81" s="24">
        <f t="shared" si="15"/>
        <v>3097</v>
      </c>
      <c r="M81" s="28">
        <v>0</v>
      </c>
      <c r="N81" s="28">
        <v>0</v>
      </c>
      <c r="O81" s="9">
        <f t="shared" si="1"/>
        <v>0.00010498406865910632</v>
      </c>
    </row>
    <row r="82" spans="1:15" ht="13.5" customHeight="1">
      <c r="A82" s="32"/>
      <c r="B82" s="22" t="s">
        <v>66</v>
      </c>
      <c r="C82" s="33" t="s">
        <v>67</v>
      </c>
      <c r="D82" s="11"/>
      <c r="E82" s="24">
        <v>2500</v>
      </c>
      <c r="F82" s="24">
        <v>0</v>
      </c>
      <c r="G82" s="24">
        <v>0</v>
      </c>
      <c r="H82" s="24">
        <v>2590</v>
      </c>
      <c r="I82" s="24">
        <v>0</v>
      </c>
      <c r="J82" s="24">
        <v>806</v>
      </c>
      <c r="K82" s="24">
        <v>2000</v>
      </c>
      <c r="L82" s="24">
        <f t="shared" si="15"/>
        <v>2000</v>
      </c>
      <c r="M82" s="28">
        <v>0</v>
      </c>
      <c r="N82" s="28">
        <v>0</v>
      </c>
      <c r="O82" s="9">
        <f aca="true" t="shared" si="16" ref="O82:O113">K82/$K$549</f>
        <v>6.7797267458254E-05</v>
      </c>
    </row>
    <row r="83" spans="1:15" ht="15" customHeight="1">
      <c r="A83" s="32"/>
      <c r="B83" s="22" t="s">
        <v>70</v>
      </c>
      <c r="C83" s="33" t="s">
        <v>71</v>
      </c>
      <c r="D83" s="11"/>
      <c r="E83" s="24">
        <v>1241</v>
      </c>
      <c r="F83" s="24">
        <v>0</v>
      </c>
      <c r="G83" s="24">
        <v>0</v>
      </c>
      <c r="H83" s="24">
        <v>1317</v>
      </c>
      <c r="I83" s="24">
        <v>0</v>
      </c>
      <c r="J83" s="24">
        <v>0</v>
      </c>
      <c r="K83" s="24">
        <v>1317</v>
      </c>
      <c r="L83" s="24">
        <f t="shared" si="15"/>
        <v>1317</v>
      </c>
      <c r="M83" s="28">
        <v>0</v>
      </c>
      <c r="N83" s="28">
        <v>0</v>
      </c>
      <c r="O83" s="9">
        <f t="shared" si="16"/>
        <v>4.464450062126026E-05</v>
      </c>
    </row>
    <row r="84" spans="1:15" ht="17.25" customHeight="1">
      <c r="A84" s="21" t="s">
        <v>107</v>
      </c>
      <c r="B84" s="31"/>
      <c r="C84" s="7" t="s">
        <v>108</v>
      </c>
      <c r="D84" s="10">
        <f aca="true" t="shared" si="17" ref="D84:J84">D85+D98+D105+D125+D133</f>
        <v>2548542</v>
      </c>
      <c r="E84" s="10">
        <f t="shared" si="17"/>
        <v>2932158</v>
      </c>
      <c r="F84" s="10">
        <f t="shared" si="17"/>
        <v>38276</v>
      </c>
      <c r="G84" s="10">
        <f t="shared" si="17"/>
        <v>38276</v>
      </c>
      <c r="H84" s="10">
        <f t="shared" si="17"/>
        <v>2238702</v>
      </c>
      <c r="I84" s="10">
        <f t="shared" si="17"/>
        <v>29000</v>
      </c>
      <c r="J84" s="10">
        <f t="shared" si="17"/>
        <v>29000</v>
      </c>
      <c r="K84" s="10">
        <f>K85+K98+K105+K125+K133+K97</f>
        <v>2211441</v>
      </c>
      <c r="L84" s="10">
        <f>L85+L98+L105+L125+L133+L97</f>
        <v>86199</v>
      </c>
      <c r="M84" s="10">
        <f>M85+M98+M105+M125+M133+M97</f>
        <v>2095642</v>
      </c>
      <c r="N84" s="10">
        <f>N85+N98+N105+N125+N133+N97</f>
        <v>29600</v>
      </c>
      <c r="O84" s="9">
        <f t="shared" si="16"/>
        <v>0.07496482847257434</v>
      </c>
    </row>
    <row r="85" spans="1:15" ht="13.5" customHeight="1">
      <c r="A85" s="21" t="s">
        <v>109</v>
      </c>
      <c r="B85" s="31"/>
      <c r="C85" s="7" t="s">
        <v>110</v>
      </c>
      <c r="D85" s="10">
        <f>D86+D87+D88+D90</f>
        <v>120453</v>
      </c>
      <c r="E85" s="10">
        <f>E86+E87+E88+E89+E90+E91</f>
        <v>120857</v>
      </c>
      <c r="F85" s="10">
        <f>F86+F87+F88+F89+F90+F91</f>
        <v>0</v>
      </c>
      <c r="G85" s="10">
        <f>G86+G87+G88+G89+G90+G91</f>
        <v>0</v>
      </c>
      <c r="H85" s="10">
        <f aca="true" t="shared" si="18" ref="H85:M85">H86+H87+H88+H89+H90+H91+H92+H93+H94+H95</f>
        <v>86463</v>
      </c>
      <c r="I85" s="10">
        <f t="shared" si="18"/>
        <v>0</v>
      </c>
      <c r="J85" s="10">
        <f t="shared" si="18"/>
        <v>0</v>
      </c>
      <c r="K85" s="10">
        <f t="shared" si="18"/>
        <v>89799</v>
      </c>
      <c r="L85" s="10">
        <f t="shared" si="18"/>
        <v>72199</v>
      </c>
      <c r="M85" s="23">
        <f t="shared" si="18"/>
        <v>0</v>
      </c>
      <c r="N85" s="23">
        <f>N86+N87+N88+N89+N90+N91+N92+N93+N94+N95</f>
        <v>17600</v>
      </c>
      <c r="O85" s="9">
        <f t="shared" si="16"/>
        <v>0.0030440634102418757</v>
      </c>
    </row>
    <row r="86" spans="1:15" ht="14.25" customHeight="1">
      <c r="A86" s="32"/>
      <c r="B86" s="22" t="s">
        <v>48</v>
      </c>
      <c r="C86" s="33" t="s">
        <v>749</v>
      </c>
      <c r="D86" s="11">
        <v>90000</v>
      </c>
      <c r="E86" s="24">
        <v>90000</v>
      </c>
      <c r="F86" s="24">
        <v>0</v>
      </c>
      <c r="G86" s="24">
        <v>0</v>
      </c>
      <c r="H86" s="24">
        <v>45000</v>
      </c>
      <c r="I86" s="24">
        <v>0</v>
      </c>
      <c r="J86" s="24">
        <v>0</v>
      </c>
      <c r="K86" s="24">
        <v>51600</v>
      </c>
      <c r="L86" s="24">
        <f>K86</f>
        <v>51600</v>
      </c>
      <c r="M86" s="28">
        <v>0</v>
      </c>
      <c r="N86" s="28">
        <v>0</v>
      </c>
      <c r="O86" s="9">
        <f t="shared" si="16"/>
        <v>0.0017491695004229531</v>
      </c>
    </row>
    <row r="87" spans="1:15" ht="15.75" customHeight="1">
      <c r="A87" s="32"/>
      <c r="B87" s="22" t="s">
        <v>52</v>
      </c>
      <c r="C87" s="33" t="s">
        <v>53</v>
      </c>
      <c r="D87" s="11">
        <v>6390</v>
      </c>
      <c r="E87" s="24">
        <v>6390</v>
      </c>
      <c r="F87" s="24">
        <v>0</v>
      </c>
      <c r="G87" s="24">
        <v>0</v>
      </c>
      <c r="H87" s="24">
        <v>7650</v>
      </c>
      <c r="I87" s="24">
        <v>0</v>
      </c>
      <c r="J87" s="24">
        <v>0</v>
      </c>
      <c r="K87" s="24">
        <v>3825</v>
      </c>
      <c r="L87" s="24">
        <f aca="true" t="shared" si="19" ref="L87:L95">K87</f>
        <v>3825</v>
      </c>
      <c r="M87" s="28">
        <v>0</v>
      </c>
      <c r="N87" s="28">
        <v>0</v>
      </c>
      <c r="O87" s="9">
        <f t="shared" si="16"/>
        <v>0.00012966227401391077</v>
      </c>
    </row>
    <row r="88" spans="1:15" ht="16.5" customHeight="1">
      <c r="A88" s="32"/>
      <c r="B88" s="29" t="s">
        <v>106</v>
      </c>
      <c r="C88" s="33" t="s">
        <v>111</v>
      </c>
      <c r="D88" s="11">
        <v>19597</v>
      </c>
      <c r="E88" s="24">
        <v>17235</v>
      </c>
      <c r="F88" s="24">
        <v>0</v>
      </c>
      <c r="G88" s="24">
        <v>0</v>
      </c>
      <c r="H88" s="24">
        <v>9414</v>
      </c>
      <c r="I88" s="24">
        <v>0</v>
      </c>
      <c r="J88" s="24">
        <v>0</v>
      </c>
      <c r="K88" s="24">
        <v>9550</v>
      </c>
      <c r="L88" s="24">
        <f t="shared" si="19"/>
        <v>9550</v>
      </c>
      <c r="M88" s="28">
        <v>0</v>
      </c>
      <c r="N88" s="28">
        <v>0</v>
      </c>
      <c r="O88" s="9">
        <f t="shared" si="16"/>
        <v>0.00032373195211316284</v>
      </c>
    </row>
    <row r="89" spans="1:15" ht="17.25" customHeight="1">
      <c r="A89" s="32"/>
      <c r="B89" s="29" t="s">
        <v>56</v>
      </c>
      <c r="C89" s="33" t="s">
        <v>57</v>
      </c>
      <c r="D89" s="11"/>
      <c r="E89" s="24">
        <v>2362</v>
      </c>
      <c r="F89" s="24">
        <v>0</v>
      </c>
      <c r="G89" s="24">
        <v>0</v>
      </c>
      <c r="H89" s="24">
        <v>1290</v>
      </c>
      <c r="I89" s="24">
        <v>0</v>
      </c>
      <c r="J89" s="24">
        <v>0</v>
      </c>
      <c r="K89" s="24">
        <v>1358</v>
      </c>
      <c r="L89" s="24">
        <f t="shared" si="19"/>
        <v>1358</v>
      </c>
      <c r="M89" s="28">
        <v>0</v>
      </c>
      <c r="N89" s="28">
        <v>0</v>
      </c>
      <c r="O89" s="9">
        <f t="shared" si="16"/>
        <v>4.603434460415447E-05</v>
      </c>
    </row>
    <row r="90" spans="1:15" ht="18.75" customHeight="1" hidden="1">
      <c r="A90" s="32"/>
      <c r="B90" s="22"/>
      <c r="C90" s="33" t="s">
        <v>97</v>
      </c>
      <c r="D90" s="11">
        <v>4466</v>
      </c>
      <c r="E90" s="24">
        <v>1767</v>
      </c>
      <c r="F90" s="24">
        <v>0</v>
      </c>
      <c r="G90" s="24">
        <v>0</v>
      </c>
      <c r="H90" s="24">
        <v>0</v>
      </c>
      <c r="I90" s="24">
        <v>0</v>
      </c>
      <c r="J90" s="24">
        <v>0</v>
      </c>
      <c r="K90" s="24"/>
      <c r="L90" s="24">
        <f t="shared" si="19"/>
        <v>0</v>
      </c>
      <c r="M90" s="28"/>
      <c r="N90" s="28"/>
      <c r="O90" s="9">
        <f t="shared" si="16"/>
        <v>0</v>
      </c>
    </row>
    <row r="91" spans="1:15" ht="17.25" customHeight="1">
      <c r="A91" s="32"/>
      <c r="B91" s="22" t="s">
        <v>70</v>
      </c>
      <c r="C91" s="33" t="s">
        <v>71</v>
      </c>
      <c r="D91" s="11"/>
      <c r="E91" s="24">
        <v>3103</v>
      </c>
      <c r="F91" s="24">
        <v>0</v>
      </c>
      <c r="G91" s="24">
        <v>0</v>
      </c>
      <c r="H91" s="24">
        <v>1646</v>
      </c>
      <c r="I91" s="24">
        <v>0</v>
      </c>
      <c r="J91" s="24">
        <v>0</v>
      </c>
      <c r="K91" s="24">
        <v>1646</v>
      </c>
      <c r="L91" s="24">
        <f t="shared" si="19"/>
        <v>1646</v>
      </c>
      <c r="M91" s="28">
        <v>0</v>
      </c>
      <c r="N91" s="28">
        <v>0</v>
      </c>
      <c r="O91" s="9">
        <f t="shared" si="16"/>
        <v>5.5797151118143045E-05</v>
      </c>
    </row>
    <row r="92" spans="1:15" ht="17.25" customHeight="1">
      <c r="A92" s="32"/>
      <c r="B92" s="22" t="s">
        <v>112</v>
      </c>
      <c r="C92" s="33" t="s">
        <v>113</v>
      </c>
      <c r="D92" s="11"/>
      <c r="E92" s="24"/>
      <c r="F92" s="24"/>
      <c r="G92" s="24"/>
      <c r="H92" s="24">
        <v>17600</v>
      </c>
      <c r="I92" s="24">
        <v>0</v>
      </c>
      <c r="J92" s="24">
        <v>0</v>
      </c>
      <c r="K92" s="24">
        <v>17600</v>
      </c>
      <c r="L92" s="24">
        <v>0</v>
      </c>
      <c r="M92" s="28">
        <v>0</v>
      </c>
      <c r="N92" s="28">
        <f>K92</f>
        <v>17600</v>
      </c>
      <c r="O92" s="9">
        <f t="shared" si="16"/>
        <v>0.0005966159536326352</v>
      </c>
    </row>
    <row r="93" spans="1:15" ht="17.25" customHeight="1">
      <c r="A93" s="32"/>
      <c r="B93" s="22" t="s">
        <v>58</v>
      </c>
      <c r="C93" s="33" t="s">
        <v>59</v>
      </c>
      <c r="D93" s="11"/>
      <c r="E93" s="24"/>
      <c r="F93" s="24"/>
      <c r="G93" s="24"/>
      <c r="H93" s="24">
        <v>1000</v>
      </c>
      <c r="I93" s="24">
        <v>0</v>
      </c>
      <c r="J93" s="24">
        <v>0</v>
      </c>
      <c r="K93" s="24">
        <v>2270</v>
      </c>
      <c r="L93" s="24">
        <f t="shared" si="19"/>
        <v>2270</v>
      </c>
      <c r="M93" s="28">
        <v>0</v>
      </c>
      <c r="N93" s="28">
        <v>0</v>
      </c>
      <c r="O93" s="9">
        <f t="shared" si="16"/>
        <v>7.694989856511829E-05</v>
      </c>
    </row>
    <row r="94" spans="1:15" ht="17.25" customHeight="1">
      <c r="A94" s="32"/>
      <c r="B94" s="22" t="s">
        <v>66</v>
      </c>
      <c r="C94" s="33" t="s">
        <v>67</v>
      </c>
      <c r="D94" s="11"/>
      <c r="E94" s="24"/>
      <c r="F94" s="24"/>
      <c r="G94" s="24"/>
      <c r="H94" s="24">
        <v>1250</v>
      </c>
      <c r="I94" s="196">
        <v>0</v>
      </c>
      <c r="J94" s="196">
        <v>0</v>
      </c>
      <c r="K94" s="196">
        <v>1250</v>
      </c>
      <c r="L94" s="24">
        <f t="shared" si="19"/>
        <v>1250</v>
      </c>
      <c r="M94" s="28">
        <v>0</v>
      </c>
      <c r="N94" s="28">
        <v>0</v>
      </c>
      <c r="O94" s="9">
        <f t="shared" si="16"/>
        <v>4.237329216140875E-05</v>
      </c>
    </row>
    <row r="95" spans="1:15" ht="17.25" customHeight="1">
      <c r="A95" s="32"/>
      <c r="B95" s="22" t="s">
        <v>64</v>
      </c>
      <c r="C95" s="33" t="s">
        <v>65</v>
      </c>
      <c r="D95" s="11"/>
      <c r="E95" s="24"/>
      <c r="F95" s="24"/>
      <c r="G95" s="24"/>
      <c r="H95" s="24">
        <v>1613</v>
      </c>
      <c r="I95" s="24">
        <v>0</v>
      </c>
      <c r="J95" s="24">
        <v>0</v>
      </c>
      <c r="K95" s="24">
        <v>700</v>
      </c>
      <c r="L95" s="24">
        <f t="shared" si="19"/>
        <v>700</v>
      </c>
      <c r="M95" s="28">
        <v>0</v>
      </c>
      <c r="N95" s="28">
        <v>0</v>
      </c>
      <c r="O95" s="9">
        <f t="shared" si="16"/>
        <v>2.37290436103889E-05</v>
      </c>
    </row>
    <row r="96" spans="1:15" ht="17.25" customHeight="1">
      <c r="A96" s="21" t="s">
        <v>745</v>
      </c>
      <c r="B96" s="22"/>
      <c r="C96" s="7" t="s">
        <v>746</v>
      </c>
      <c r="D96" s="10"/>
      <c r="E96" s="10"/>
      <c r="F96" s="10"/>
      <c r="G96" s="10"/>
      <c r="H96" s="10"/>
      <c r="I96" s="10"/>
      <c r="J96" s="10"/>
      <c r="K96" s="10">
        <f>K97</f>
        <v>12000</v>
      </c>
      <c r="L96" s="10">
        <f>L97</f>
        <v>0</v>
      </c>
      <c r="M96" s="10">
        <f>M97</f>
        <v>0</v>
      </c>
      <c r="N96" s="10">
        <f>N97</f>
        <v>12000</v>
      </c>
      <c r="O96" s="9">
        <f t="shared" si="16"/>
        <v>0.00040678360474952403</v>
      </c>
    </row>
    <row r="97" spans="1:15" ht="40.5" customHeight="1">
      <c r="A97" s="32"/>
      <c r="B97" s="22" t="s">
        <v>747</v>
      </c>
      <c r="C97" s="33" t="s">
        <v>748</v>
      </c>
      <c r="D97" s="11"/>
      <c r="E97" s="24"/>
      <c r="F97" s="24"/>
      <c r="G97" s="24"/>
      <c r="H97" s="24"/>
      <c r="I97" s="24"/>
      <c r="J97" s="24"/>
      <c r="K97" s="24">
        <v>12000</v>
      </c>
      <c r="L97" s="24">
        <v>0</v>
      </c>
      <c r="M97" s="28">
        <v>0</v>
      </c>
      <c r="N97" s="28">
        <f>K97</f>
        <v>12000</v>
      </c>
      <c r="O97" s="9">
        <f t="shared" si="16"/>
        <v>0.00040678360474952403</v>
      </c>
    </row>
    <row r="98" spans="1:15" ht="16.5" customHeight="1">
      <c r="A98" s="21" t="s">
        <v>114</v>
      </c>
      <c r="B98" s="31"/>
      <c r="C98" s="7" t="s">
        <v>115</v>
      </c>
      <c r="D98" s="10">
        <f>D99</f>
        <v>134900</v>
      </c>
      <c r="E98" s="10">
        <f>E99+E100+E101+E102</f>
        <v>200000</v>
      </c>
      <c r="F98" s="10">
        <f>F99+F100+F101+F102</f>
        <v>0</v>
      </c>
      <c r="G98" s="10">
        <f>G99+G100+G101+G102</f>
        <v>0</v>
      </c>
      <c r="H98" s="10">
        <f aca="true" t="shared" si="20" ref="H98:N98">H99+H103+H104</f>
        <v>117000</v>
      </c>
      <c r="I98" s="10">
        <f t="shared" si="20"/>
        <v>4000</v>
      </c>
      <c r="J98" s="10">
        <f t="shared" si="20"/>
        <v>4000</v>
      </c>
      <c r="K98" s="10">
        <f t="shared" si="20"/>
        <v>86060</v>
      </c>
      <c r="L98" s="10">
        <f t="shared" si="20"/>
        <v>0</v>
      </c>
      <c r="M98" s="23">
        <f t="shared" si="20"/>
        <v>86060</v>
      </c>
      <c r="N98" s="23">
        <f t="shared" si="20"/>
        <v>0</v>
      </c>
      <c r="O98" s="9">
        <f t="shared" si="16"/>
        <v>0.00291731641872867</v>
      </c>
    </row>
    <row r="99" spans="1:15" ht="16.5" customHeight="1">
      <c r="A99" s="32"/>
      <c r="B99" s="22" t="s">
        <v>46</v>
      </c>
      <c r="C99" s="33" t="s">
        <v>116</v>
      </c>
      <c r="D99" s="11">
        <v>134900</v>
      </c>
      <c r="E99" s="24">
        <v>191600</v>
      </c>
      <c r="F99" s="24">
        <v>0</v>
      </c>
      <c r="G99" s="24">
        <v>0</v>
      </c>
      <c r="H99" s="24">
        <v>109611</v>
      </c>
      <c r="I99" s="24">
        <v>0</v>
      </c>
      <c r="J99" s="24">
        <v>4000</v>
      </c>
      <c r="K99" s="24">
        <v>74690</v>
      </c>
      <c r="L99" s="24">
        <v>0</v>
      </c>
      <c r="M99" s="28">
        <f>K99</f>
        <v>74690</v>
      </c>
      <c r="N99" s="28">
        <v>0</v>
      </c>
      <c r="O99" s="9">
        <f t="shared" si="16"/>
        <v>0.0025318889532284956</v>
      </c>
    </row>
    <row r="100" spans="1:15" ht="12.75" customHeight="1" hidden="1">
      <c r="A100" s="32"/>
      <c r="B100" s="22" t="s">
        <v>58</v>
      </c>
      <c r="C100" s="33" t="s">
        <v>85</v>
      </c>
      <c r="D100" s="11">
        <v>128020</v>
      </c>
      <c r="E100" s="24">
        <v>3500</v>
      </c>
      <c r="F100" s="24">
        <v>0</v>
      </c>
      <c r="G100" s="24">
        <v>0</v>
      </c>
      <c r="H100" s="24"/>
      <c r="I100" s="24">
        <v>0</v>
      </c>
      <c r="J100" s="24">
        <v>2160</v>
      </c>
      <c r="K100" s="24"/>
      <c r="L100" s="24"/>
      <c r="M100" s="28"/>
      <c r="N100" s="28"/>
      <c r="O100" s="9">
        <f t="shared" si="16"/>
        <v>0</v>
      </c>
    </row>
    <row r="101" spans="1:15" ht="12.75" customHeight="1" hidden="1">
      <c r="A101" s="32"/>
      <c r="B101" s="22" t="s">
        <v>64</v>
      </c>
      <c r="C101" s="33" t="s">
        <v>65</v>
      </c>
      <c r="D101" s="11"/>
      <c r="E101" s="24">
        <v>4400</v>
      </c>
      <c r="F101" s="24">
        <v>0</v>
      </c>
      <c r="G101" s="24">
        <v>0</v>
      </c>
      <c r="H101" s="24"/>
      <c r="I101" s="24">
        <v>0</v>
      </c>
      <c r="J101" s="24">
        <v>0</v>
      </c>
      <c r="K101" s="24"/>
      <c r="L101" s="24"/>
      <c r="M101" s="28"/>
      <c r="N101" s="28"/>
      <c r="O101" s="9">
        <f t="shared" si="16"/>
        <v>0</v>
      </c>
    </row>
    <row r="102" spans="1:15" ht="12.75" customHeight="1" hidden="1">
      <c r="A102" s="32"/>
      <c r="B102" s="22" t="s">
        <v>66</v>
      </c>
      <c r="C102" s="33" t="s">
        <v>67</v>
      </c>
      <c r="D102" s="11"/>
      <c r="E102" s="24">
        <v>500</v>
      </c>
      <c r="F102" s="24">
        <v>0</v>
      </c>
      <c r="G102" s="24">
        <v>0</v>
      </c>
      <c r="H102" s="24"/>
      <c r="I102" s="24">
        <v>25</v>
      </c>
      <c r="J102" s="24">
        <v>386</v>
      </c>
      <c r="K102" s="24"/>
      <c r="L102" s="24"/>
      <c r="M102" s="28"/>
      <c r="N102" s="28"/>
      <c r="O102" s="9">
        <f t="shared" si="16"/>
        <v>0</v>
      </c>
    </row>
    <row r="103" spans="1:15" ht="12.75" customHeight="1">
      <c r="A103" s="32"/>
      <c r="B103" s="22" t="s">
        <v>58</v>
      </c>
      <c r="C103" s="33" t="s">
        <v>59</v>
      </c>
      <c r="D103" s="11"/>
      <c r="E103" s="24"/>
      <c r="F103" s="24"/>
      <c r="G103" s="24"/>
      <c r="H103" s="24">
        <v>2153</v>
      </c>
      <c r="I103" s="24">
        <v>1500</v>
      </c>
      <c r="J103" s="24">
        <v>0</v>
      </c>
      <c r="K103" s="24">
        <v>3670</v>
      </c>
      <c r="L103" s="24">
        <v>0</v>
      </c>
      <c r="M103" s="28">
        <f>K103</f>
        <v>3670</v>
      </c>
      <c r="N103" s="28">
        <v>0</v>
      </c>
      <c r="O103" s="9">
        <f t="shared" si="16"/>
        <v>0.0001244079857858961</v>
      </c>
    </row>
    <row r="104" spans="1:15" ht="12.75" customHeight="1">
      <c r="A104" s="32"/>
      <c r="B104" s="22" t="s">
        <v>64</v>
      </c>
      <c r="C104" s="33" t="s">
        <v>65</v>
      </c>
      <c r="D104" s="11"/>
      <c r="E104" s="24"/>
      <c r="F104" s="24"/>
      <c r="G104" s="24"/>
      <c r="H104" s="24">
        <v>5236</v>
      </c>
      <c r="I104" s="24">
        <v>2500</v>
      </c>
      <c r="J104" s="24">
        <v>0</v>
      </c>
      <c r="K104" s="24">
        <v>7700</v>
      </c>
      <c r="L104" s="24">
        <v>0</v>
      </c>
      <c r="M104" s="28">
        <f>K104</f>
        <v>7700</v>
      </c>
      <c r="N104" s="28">
        <v>0</v>
      </c>
      <c r="O104" s="9">
        <f t="shared" si="16"/>
        <v>0.00026101947971427793</v>
      </c>
    </row>
    <row r="105" spans="1:15" ht="15.75" customHeight="1">
      <c r="A105" s="21" t="s">
        <v>117</v>
      </c>
      <c r="B105" s="31"/>
      <c r="C105" s="7" t="s">
        <v>118</v>
      </c>
      <c r="D105" s="10">
        <f>D106+D107+D108+D110+D122+D124</f>
        <v>2260189</v>
      </c>
      <c r="E105" s="10">
        <f>E106+E107+E108+E109+E110+E112+E113+E114+E115+E116+E117+E119+E120+E122+E124+E121</f>
        <v>2575314</v>
      </c>
      <c r="F105" s="10">
        <f>F106+F107+F108+F109+F110+F112+F113+F114+F115+F116+F117+F119+F120+F122+F124+F121</f>
        <v>38276</v>
      </c>
      <c r="G105" s="10">
        <f>G106+G107+G108+G109+G110+G112+G113+G114+G115+G116+G117+G119+G120+G122+G124+G121</f>
        <v>38276</v>
      </c>
      <c r="H105" s="10">
        <f>H106+H107+H108+H109+H110+H112+H113+H114+H115+H116+H117+H119+H120+H121+H122+H124+H123</f>
        <v>2012147</v>
      </c>
      <c r="I105" s="10">
        <f>I106+I107+I108+I109+I110+I112+I113+I114+I115+I116+I117+I119+I120+I121+I122+I124+I123</f>
        <v>25000</v>
      </c>
      <c r="J105" s="10">
        <f>J106+J107+J108+J109+J110+J112+J113+J114+J115+J116+J117+J119+J120+J121+J122+J124+J123</f>
        <v>25000</v>
      </c>
      <c r="K105" s="10">
        <f>K106+K107+K108+K109+K111+K112+K113+K114+K115+K116+K117+K119+K120+K121+K122+K123+K124+K118</f>
        <v>2001532</v>
      </c>
      <c r="L105" s="10">
        <f>L106+L107+L108+L109+L111+L112+L113+L114+L115+L116+L117+L119+L120+L121+L122+L123+L124+L118</f>
        <v>0</v>
      </c>
      <c r="M105" s="10">
        <f>M106+M107+M108+M109+M111+M112+M113+M114+M115+M116+M117+M119+M120+M121+M122+M123+M124+M118</f>
        <v>2001532</v>
      </c>
      <c r="N105" s="10">
        <f>N106+N107+N108+N109+N111+N112+N113+N114+N115+N116+N117+N119+N120+N121+N122+N123+N124+N118</f>
        <v>0</v>
      </c>
      <c r="O105" s="9">
        <f t="shared" si="16"/>
        <v>0.06784920016512702</v>
      </c>
    </row>
    <row r="106" spans="1:15" ht="18.75" customHeight="1">
      <c r="A106" s="34"/>
      <c r="B106" s="35" t="s">
        <v>48</v>
      </c>
      <c r="C106" s="33" t="s">
        <v>749</v>
      </c>
      <c r="D106" s="11">
        <v>1172382</v>
      </c>
      <c r="E106" s="24">
        <v>1396150</v>
      </c>
      <c r="F106" s="24">
        <v>0</v>
      </c>
      <c r="G106" s="24">
        <v>0</v>
      </c>
      <c r="H106" s="24">
        <v>1021619</v>
      </c>
      <c r="I106" s="24">
        <v>0</v>
      </c>
      <c r="J106" s="24">
        <v>0</v>
      </c>
      <c r="K106" s="24">
        <v>1069576</v>
      </c>
      <c r="L106" s="24">
        <v>0</v>
      </c>
      <c r="M106" s="28">
        <f>K106</f>
        <v>1069576</v>
      </c>
      <c r="N106" s="28">
        <v>0</v>
      </c>
      <c r="O106" s="9">
        <f t="shared" si="16"/>
        <v>0.03625716506946474</v>
      </c>
    </row>
    <row r="107" spans="1:15" ht="16.5" customHeight="1">
      <c r="A107" s="34"/>
      <c r="B107" s="35" t="s">
        <v>52</v>
      </c>
      <c r="C107" s="33" t="s">
        <v>53</v>
      </c>
      <c r="D107" s="11">
        <v>77447</v>
      </c>
      <c r="E107" s="24">
        <v>95133</v>
      </c>
      <c r="F107" s="24">
        <v>0</v>
      </c>
      <c r="G107" s="24">
        <v>0</v>
      </c>
      <c r="H107" s="24">
        <v>115220</v>
      </c>
      <c r="I107" s="24">
        <v>0</v>
      </c>
      <c r="J107" s="24">
        <v>0</v>
      </c>
      <c r="K107" s="24">
        <v>81433</v>
      </c>
      <c r="L107" s="24">
        <v>0</v>
      </c>
      <c r="M107" s="28">
        <f aca="true" t="shared" si="21" ref="M107:M124">K107</f>
        <v>81433</v>
      </c>
      <c r="N107" s="28">
        <v>0</v>
      </c>
      <c r="O107" s="9">
        <f t="shared" si="16"/>
        <v>0.002760467440463999</v>
      </c>
    </row>
    <row r="108" spans="1:15" ht="15" customHeight="1">
      <c r="A108" s="34"/>
      <c r="B108" s="36" t="s">
        <v>106</v>
      </c>
      <c r="C108" s="33" t="s">
        <v>83</v>
      </c>
      <c r="D108" s="11">
        <v>236159</v>
      </c>
      <c r="E108" s="24">
        <v>262390</v>
      </c>
      <c r="F108" s="24">
        <v>0</v>
      </c>
      <c r="G108" s="24">
        <v>0</v>
      </c>
      <c r="H108" s="24">
        <v>196171</v>
      </c>
      <c r="I108" s="24">
        <v>0</v>
      </c>
      <c r="J108" s="24">
        <v>0</v>
      </c>
      <c r="K108" s="24">
        <v>195558</v>
      </c>
      <c r="L108" s="24">
        <v>0</v>
      </c>
      <c r="M108" s="28">
        <f t="shared" si="21"/>
        <v>195558</v>
      </c>
      <c r="N108" s="28">
        <v>0</v>
      </c>
      <c r="O108" s="9">
        <f t="shared" si="16"/>
        <v>0.006629149014800618</v>
      </c>
    </row>
    <row r="109" spans="1:15" ht="15" customHeight="1">
      <c r="A109" s="34"/>
      <c r="B109" s="36" t="s">
        <v>56</v>
      </c>
      <c r="C109" s="33" t="s">
        <v>57</v>
      </c>
      <c r="D109" s="11"/>
      <c r="E109" s="24">
        <v>35746</v>
      </c>
      <c r="F109" s="24">
        <v>0</v>
      </c>
      <c r="G109" s="24">
        <v>0</v>
      </c>
      <c r="H109" s="24">
        <v>27095</v>
      </c>
      <c r="I109" s="24">
        <v>0</v>
      </c>
      <c r="J109" s="24">
        <v>0</v>
      </c>
      <c r="K109" s="24">
        <v>27881</v>
      </c>
      <c r="L109" s="24">
        <v>0</v>
      </c>
      <c r="M109" s="28">
        <f t="shared" si="21"/>
        <v>27881</v>
      </c>
      <c r="N109" s="28">
        <v>0</v>
      </c>
      <c r="O109" s="9">
        <f t="shared" si="16"/>
        <v>0.0009451278070017899</v>
      </c>
    </row>
    <row r="110" spans="1:15" ht="16.5" customHeight="1" hidden="1">
      <c r="A110" s="34"/>
      <c r="B110" s="35"/>
      <c r="C110" s="33" t="s">
        <v>97</v>
      </c>
      <c r="D110" s="11">
        <v>673201</v>
      </c>
      <c r="E110" s="24">
        <v>5676</v>
      </c>
      <c r="F110" s="24">
        <v>0</v>
      </c>
      <c r="G110" s="24">
        <v>0</v>
      </c>
      <c r="H110" s="24">
        <v>0</v>
      </c>
      <c r="I110" s="24">
        <v>0</v>
      </c>
      <c r="J110" s="24">
        <v>0</v>
      </c>
      <c r="K110" s="24"/>
      <c r="L110" s="24"/>
      <c r="M110" s="28">
        <f t="shared" si="21"/>
        <v>0</v>
      </c>
      <c r="N110" s="28"/>
      <c r="O110" s="9">
        <f t="shared" si="16"/>
        <v>0</v>
      </c>
    </row>
    <row r="111" spans="1:15" ht="16.5" customHeight="1">
      <c r="A111" s="34"/>
      <c r="B111" s="35" t="s">
        <v>44</v>
      </c>
      <c r="C111" s="33" t="s">
        <v>687</v>
      </c>
      <c r="D111" s="11"/>
      <c r="E111" s="24"/>
      <c r="F111" s="24"/>
      <c r="G111" s="24"/>
      <c r="H111" s="24"/>
      <c r="I111" s="24"/>
      <c r="J111" s="24"/>
      <c r="K111" s="24">
        <v>216</v>
      </c>
      <c r="L111" s="24">
        <v>0</v>
      </c>
      <c r="M111" s="28">
        <f>K111</f>
        <v>216</v>
      </c>
      <c r="N111" s="28">
        <v>0</v>
      </c>
      <c r="O111" s="9">
        <f t="shared" si="16"/>
        <v>7.322104885491432E-06</v>
      </c>
    </row>
    <row r="112" spans="1:15" ht="15.75" customHeight="1">
      <c r="A112" s="34"/>
      <c r="B112" s="35" t="s">
        <v>46</v>
      </c>
      <c r="C112" s="33" t="s">
        <v>47</v>
      </c>
      <c r="D112" s="11"/>
      <c r="E112" s="24">
        <v>1250</v>
      </c>
      <c r="F112" s="24">
        <v>0</v>
      </c>
      <c r="G112" s="24">
        <v>0</v>
      </c>
      <c r="H112" s="24">
        <v>5556</v>
      </c>
      <c r="I112" s="24">
        <v>0</v>
      </c>
      <c r="J112" s="24">
        <v>0</v>
      </c>
      <c r="K112" s="24">
        <v>0</v>
      </c>
      <c r="L112" s="24">
        <v>0</v>
      </c>
      <c r="M112" s="28">
        <f t="shared" si="21"/>
        <v>0</v>
      </c>
      <c r="N112" s="28">
        <v>0</v>
      </c>
      <c r="O112" s="9">
        <f t="shared" si="16"/>
        <v>0</v>
      </c>
    </row>
    <row r="113" spans="1:15" ht="15.75" customHeight="1">
      <c r="A113" s="34"/>
      <c r="B113" s="35" t="s">
        <v>58</v>
      </c>
      <c r="C113" s="33" t="s">
        <v>85</v>
      </c>
      <c r="D113" s="11"/>
      <c r="E113" s="24">
        <v>125516</v>
      </c>
      <c r="F113" s="24">
        <v>18656</v>
      </c>
      <c r="G113" s="24">
        <v>0</v>
      </c>
      <c r="H113" s="24">
        <v>88436</v>
      </c>
      <c r="I113" s="24">
        <v>0</v>
      </c>
      <c r="J113" s="24">
        <v>25000</v>
      </c>
      <c r="K113" s="24">
        <v>72000</v>
      </c>
      <c r="L113" s="24">
        <v>0</v>
      </c>
      <c r="M113" s="28">
        <f t="shared" si="21"/>
        <v>72000</v>
      </c>
      <c r="N113" s="28">
        <v>0</v>
      </c>
      <c r="O113" s="9">
        <f t="shared" si="16"/>
        <v>0.002440701628497144</v>
      </c>
    </row>
    <row r="114" spans="1:15" ht="15.75" customHeight="1">
      <c r="A114" s="34"/>
      <c r="B114" s="35" t="s">
        <v>60</v>
      </c>
      <c r="C114" s="33" t="s">
        <v>61</v>
      </c>
      <c r="D114" s="11"/>
      <c r="E114" s="24">
        <v>60600</v>
      </c>
      <c r="F114" s="24">
        <v>0</v>
      </c>
      <c r="G114" s="24">
        <v>0</v>
      </c>
      <c r="H114" s="24">
        <v>75000</v>
      </c>
      <c r="I114" s="24">
        <v>0</v>
      </c>
      <c r="J114" s="24">
        <v>0</v>
      </c>
      <c r="K114" s="24">
        <v>70000</v>
      </c>
      <c r="L114" s="24">
        <v>0</v>
      </c>
      <c r="M114" s="28">
        <f t="shared" si="21"/>
        <v>70000</v>
      </c>
      <c r="N114" s="28">
        <v>0</v>
      </c>
      <c r="O114" s="9">
        <f aca="true" t="shared" si="22" ref="O114:O149">K114/$K$549</f>
        <v>0.00237290436103889</v>
      </c>
    </row>
    <row r="115" spans="1:15" ht="16.5" customHeight="1">
      <c r="A115" s="34"/>
      <c r="B115" s="35" t="s">
        <v>62</v>
      </c>
      <c r="C115" s="33" t="s">
        <v>63</v>
      </c>
      <c r="D115" s="11"/>
      <c r="E115" s="24">
        <v>50000</v>
      </c>
      <c r="F115" s="24">
        <v>0</v>
      </c>
      <c r="G115" s="24">
        <v>18859</v>
      </c>
      <c r="H115" s="24">
        <v>0</v>
      </c>
      <c r="I115" s="24">
        <v>0</v>
      </c>
      <c r="J115" s="24">
        <v>0</v>
      </c>
      <c r="K115" s="24">
        <v>37715</v>
      </c>
      <c r="L115" s="24">
        <v>0</v>
      </c>
      <c r="M115" s="28">
        <f t="shared" si="21"/>
        <v>37715</v>
      </c>
      <c r="N115" s="28">
        <v>0</v>
      </c>
      <c r="O115" s="9">
        <f t="shared" si="22"/>
        <v>0.0012784869710940248</v>
      </c>
    </row>
    <row r="116" spans="1:15" ht="13.5" customHeight="1">
      <c r="A116" s="34"/>
      <c r="B116" s="35" t="s">
        <v>64</v>
      </c>
      <c r="C116" s="33" t="s">
        <v>65</v>
      </c>
      <c r="D116" s="11"/>
      <c r="E116" s="24">
        <v>427481</v>
      </c>
      <c r="F116" s="24">
        <v>18859</v>
      </c>
      <c r="G116" s="24">
        <v>0</v>
      </c>
      <c r="H116" s="24">
        <v>365521</v>
      </c>
      <c r="I116" s="24">
        <v>24700</v>
      </c>
      <c r="J116" s="24">
        <v>0</v>
      </c>
      <c r="K116" s="24">
        <v>380000</v>
      </c>
      <c r="L116" s="24">
        <v>0</v>
      </c>
      <c r="M116" s="28">
        <f t="shared" si="21"/>
        <v>380000</v>
      </c>
      <c r="N116" s="28">
        <v>0</v>
      </c>
      <c r="O116" s="9">
        <f t="shared" si="22"/>
        <v>0.012881480817068261</v>
      </c>
    </row>
    <row r="117" spans="1:15" ht="14.25" customHeight="1">
      <c r="A117" s="34"/>
      <c r="B117" s="35" t="s">
        <v>66</v>
      </c>
      <c r="C117" s="33" t="s">
        <v>67</v>
      </c>
      <c r="D117" s="11"/>
      <c r="E117" s="24">
        <v>10250</v>
      </c>
      <c r="F117" s="24">
        <v>761</v>
      </c>
      <c r="G117" s="24">
        <v>0</v>
      </c>
      <c r="H117" s="24">
        <v>9500</v>
      </c>
      <c r="I117" s="24">
        <v>0</v>
      </c>
      <c r="J117" s="24">
        <v>0</v>
      </c>
      <c r="K117" s="24">
        <v>7000</v>
      </c>
      <c r="L117" s="24">
        <v>0</v>
      </c>
      <c r="M117" s="28">
        <f t="shared" si="21"/>
        <v>7000</v>
      </c>
      <c r="N117" s="28">
        <v>0</v>
      </c>
      <c r="O117" s="9">
        <f t="shared" si="22"/>
        <v>0.000237290436103889</v>
      </c>
    </row>
    <row r="118" spans="1:15" ht="14.25" customHeight="1">
      <c r="A118" s="34"/>
      <c r="B118" s="35" t="s">
        <v>839</v>
      </c>
      <c r="C118" s="33" t="s">
        <v>840</v>
      </c>
      <c r="D118" s="11"/>
      <c r="E118" s="24"/>
      <c r="F118" s="24"/>
      <c r="G118" s="24"/>
      <c r="H118" s="24"/>
      <c r="I118" s="24"/>
      <c r="J118" s="24"/>
      <c r="K118" s="24">
        <v>1000</v>
      </c>
      <c r="L118" s="24">
        <v>0</v>
      </c>
      <c r="M118" s="28">
        <f>K118</f>
        <v>1000</v>
      </c>
      <c r="N118" s="28">
        <v>0</v>
      </c>
      <c r="O118" s="9">
        <f t="shared" si="22"/>
        <v>3.3898633729127E-05</v>
      </c>
    </row>
    <row r="119" spans="1:15" ht="15.75" customHeight="1">
      <c r="A119" s="34"/>
      <c r="B119" s="35" t="s">
        <v>68</v>
      </c>
      <c r="C119" s="33" t="s">
        <v>69</v>
      </c>
      <c r="D119" s="11"/>
      <c r="E119" s="24">
        <v>14454</v>
      </c>
      <c r="F119" s="24">
        <v>0</v>
      </c>
      <c r="G119" s="24">
        <v>761</v>
      </c>
      <c r="H119" s="24">
        <v>9472</v>
      </c>
      <c r="I119" s="24">
        <v>0</v>
      </c>
      <c r="J119" s="24">
        <v>0</v>
      </c>
      <c r="K119" s="24">
        <v>11800</v>
      </c>
      <c r="L119" s="24">
        <v>0</v>
      </c>
      <c r="M119" s="28">
        <f t="shared" si="21"/>
        <v>11800</v>
      </c>
      <c r="N119" s="28">
        <v>0</v>
      </c>
      <c r="O119" s="9">
        <f t="shared" si="22"/>
        <v>0.0004000038780036986</v>
      </c>
    </row>
    <row r="120" spans="1:15" ht="15.75" customHeight="1">
      <c r="A120" s="34"/>
      <c r="B120" s="35" t="s">
        <v>70</v>
      </c>
      <c r="C120" s="33" t="s">
        <v>71</v>
      </c>
      <c r="D120" s="11"/>
      <c r="E120" s="24">
        <v>40505</v>
      </c>
      <c r="F120" s="24">
        <v>0</v>
      </c>
      <c r="G120" s="24">
        <v>0</v>
      </c>
      <c r="H120" s="24">
        <v>27989</v>
      </c>
      <c r="I120" s="24">
        <v>0</v>
      </c>
      <c r="J120" s="24">
        <v>0</v>
      </c>
      <c r="K120" s="24">
        <v>28000</v>
      </c>
      <c r="L120" s="24">
        <v>0</v>
      </c>
      <c r="M120" s="28">
        <f t="shared" si="21"/>
        <v>28000</v>
      </c>
      <c r="N120" s="28">
        <v>0</v>
      </c>
      <c r="O120" s="9">
        <f t="shared" si="22"/>
        <v>0.000949161744415556</v>
      </c>
    </row>
    <row r="121" spans="1:15" ht="16.5" customHeight="1" hidden="1">
      <c r="A121" s="34"/>
      <c r="B121" s="35" t="s">
        <v>659</v>
      </c>
      <c r="C121" s="33" t="s">
        <v>690</v>
      </c>
      <c r="D121" s="11"/>
      <c r="E121" s="24">
        <v>2563</v>
      </c>
      <c r="F121" s="24">
        <v>0</v>
      </c>
      <c r="G121" s="24">
        <v>0</v>
      </c>
      <c r="H121" s="24">
        <v>5165</v>
      </c>
      <c r="I121" s="24">
        <v>0</v>
      </c>
      <c r="J121" s="24">
        <v>0</v>
      </c>
      <c r="K121" s="24">
        <v>0</v>
      </c>
      <c r="L121" s="24">
        <v>0</v>
      </c>
      <c r="M121" s="28">
        <f t="shared" si="21"/>
        <v>0</v>
      </c>
      <c r="N121" s="28">
        <v>0</v>
      </c>
      <c r="O121" s="9">
        <f t="shared" si="22"/>
        <v>0</v>
      </c>
    </row>
    <row r="122" spans="1:15" ht="15.75" customHeight="1">
      <c r="A122" s="21"/>
      <c r="B122" s="36" t="s">
        <v>86</v>
      </c>
      <c r="C122" s="33" t="s">
        <v>87</v>
      </c>
      <c r="D122" s="11">
        <v>41000</v>
      </c>
      <c r="E122" s="24">
        <v>17600</v>
      </c>
      <c r="F122" s="24">
        <v>0</v>
      </c>
      <c r="G122" s="24">
        <v>0</v>
      </c>
      <c r="H122" s="24">
        <v>1703</v>
      </c>
      <c r="I122" s="24">
        <v>300</v>
      </c>
      <c r="J122" s="24">
        <v>0</v>
      </c>
      <c r="K122" s="24">
        <v>153</v>
      </c>
      <c r="L122" s="24">
        <v>0</v>
      </c>
      <c r="M122" s="28">
        <f t="shared" si="21"/>
        <v>153</v>
      </c>
      <c r="N122" s="28">
        <v>0</v>
      </c>
      <c r="O122" s="9">
        <f t="shared" si="22"/>
        <v>5.186490960556431E-06</v>
      </c>
    </row>
    <row r="123" spans="1:15" ht="26.25" customHeight="1">
      <c r="A123" s="21"/>
      <c r="B123" s="36" t="s">
        <v>635</v>
      </c>
      <c r="C123" s="33" t="s">
        <v>630</v>
      </c>
      <c r="D123" s="11"/>
      <c r="E123" s="24"/>
      <c r="F123" s="24"/>
      <c r="G123" s="24"/>
      <c r="H123" s="24">
        <v>3200</v>
      </c>
      <c r="I123" s="24">
        <v>0</v>
      </c>
      <c r="J123" s="24">
        <v>0</v>
      </c>
      <c r="K123" s="24">
        <v>6000</v>
      </c>
      <c r="L123" s="24">
        <v>0</v>
      </c>
      <c r="M123" s="28">
        <f t="shared" si="21"/>
        <v>6000</v>
      </c>
      <c r="N123" s="28">
        <v>0</v>
      </c>
      <c r="O123" s="9">
        <f t="shared" si="22"/>
        <v>0.00020339180237476201</v>
      </c>
    </row>
    <row r="124" spans="1:15" ht="24" customHeight="1">
      <c r="A124" s="34"/>
      <c r="B124" s="35" t="s">
        <v>91</v>
      </c>
      <c r="C124" s="33" t="s">
        <v>119</v>
      </c>
      <c r="D124" s="11">
        <v>60000</v>
      </c>
      <c r="E124" s="24">
        <v>30000</v>
      </c>
      <c r="F124" s="24">
        <v>0</v>
      </c>
      <c r="G124" s="24">
        <v>18656</v>
      </c>
      <c r="H124" s="24">
        <v>60500</v>
      </c>
      <c r="I124" s="24">
        <v>0</v>
      </c>
      <c r="J124" s="24">
        <v>0</v>
      </c>
      <c r="K124" s="24">
        <v>13200</v>
      </c>
      <c r="L124" s="24">
        <v>0</v>
      </c>
      <c r="M124" s="28">
        <f t="shared" si="21"/>
        <v>13200</v>
      </c>
      <c r="N124" s="28">
        <v>0</v>
      </c>
      <c r="O124" s="9">
        <f t="shared" si="22"/>
        <v>0.0004474619652244764</v>
      </c>
    </row>
    <row r="125" spans="1:15" ht="16.5" customHeight="1">
      <c r="A125" s="21" t="s">
        <v>120</v>
      </c>
      <c r="B125" s="31"/>
      <c r="C125" s="7" t="s">
        <v>121</v>
      </c>
      <c r="D125" s="10">
        <f>D127</f>
        <v>22000</v>
      </c>
      <c r="E125" s="10">
        <f>E127+E128+E129+E130+E131+E132</f>
        <v>25987</v>
      </c>
      <c r="F125" s="10">
        <f>F127+F128+F129+F130+F131+F132</f>
        <v>0</v>
      </c>
      <c r="G125" s="10">
        <f>G127+G128+G129+G130+G131+G132</f>
        <v>0</v>
      </c>
      <c r="H125" s="10">
        <f>H127+H128+H129+H130+H131+H132+H126</f>
        <v>10592</v>
      </c>
      <c r="I125" s="10">
        <f>I126+I127+I128+I130+I131+I132</f>
        <v>0</v>
      </c>
      <c r="J125" s="10">
        <f>J126+J127+J128+J130+J131+J132</f>
        <v>0</v>
      </c>
      <c r="K125" s="10">
        <f>K126+K127+K128+K130+K131+K132</f>
        <v>14000</v>
      </c>
      <c r="L125" s="10">
        <f>L127+L128+L129+L130+L131+L132+L126</f>
        <v>14000</v>
      </c>
      <c r="M125" s="23">
        <f>M127+M128+M129+M130+M131+M132</f>
        <v>0</v>
      </c>
      <c r="N125" s="23">
        <f>N127+N128+N129</f>
        <v>0</v>
      </c>
      <c r="O125" s="9">
        <f t="shared" si="22"/>
        <v>0.000474580872207778</v>
      </c>
    </row>
    <row r="126" spans="1:15" ht="16.5" customHeight="1">
      <c r="A126" s="21"/>
      <c r="B126" s="35" t="s">
        <v>46</v>
      </c>
      <c r="C126" s="33" t="s">
        <v>116</v>
      </c>
      <c r="D126" s="24"/>
      <c r="E126" s="24"/>
      <c r="F126" s="24"/>
      <c r="G126" s="24"/>
      <c r="H126" s="24">
        <v>5565</v>
      </c>
      <c r="I126" s="24">
        <v>0</v>
      </c>
      <c r="J126" s="24">
        <v>0</v>
      </c>
      <c r="K126" s="24">
        <v>5842</v>
      </c>
      <c r="L126" s="24">
        <f>K126</f>
        <v>5842</v>
      </c>
      <c r="M126" s="25">
        <v>0</v>
      </c>
      <c r="N126" s="25">
        <v>0</v>
      </c>
      <c r="O126" s="9">
        <f t="shared" si="22"/>
        <v>0.00019803581824555993</v>
      </c>
    </row>
    <row r="127" spans="1:15" ht="15.75" customHeight="1">
      <c r="A127" s="34"/>
      <c r="B127" s="35" t="s">
        <v>82</v>
      </c>
      <c r="C127" s="33" t="s">
        <v>122</v>
      </c>
      <c r="D127" s="11">
        <v>22000</v>
      </c>
      <c r="E127" s="24">
        <v>963</v>
      </c>
      <c r="F127" s="24">
        <v>0</v>
      </c>
      <c r="G127" s="24">
        <v>0</v>
      </c>
      <c r="H127" s="24">
        <v>483</v>
      </c>
      <c r="I127" s="24">
        <v>0</v>
      </c>
      <c r="J127" s="24">
        <v>0</v>
      </c>
      <c r="K127" s="24">
        <v>465</v>
      </c>
      <c r="L127" s="24">
        <f aca="true" t="shared" si="23" ref="L127:L132">K127</f>
        <v>465</v>
      </c>
      <c r="M127" s="28">
        <v>0</v>
      </c>
      <c r="N127" s="28">
        <v>0</v>
      </c>
      <c r="O127" s="9">
        <f t="shared" si="22"/>
        <v>1.5762864684044055E-05</v>
      </c>
    </row>
    <row r="128" spans="1:15" ht="15.75" customHeight="1">
      <c r="A128" s="34"/>
      <c r="B128" s="35" t="s">
        <v>56</v>
      </c>
      <c r="C128" s="33" t="s">
        <v>57</v>
      </c>
      <c r="D128" s="11"/>
      <c r="E128" s="24">
        <v>132</v>
      </c>
      <c r="F128" s="24">
        <v>0</v>
      </c>
      <c r="G128" s="24">
        <v>0</v>
      </c>
      <c r="H128" s="24">
        <v>66</v>
      </c>
      <c r="I128" s="24">
        <v>0</v>
      </c>
      <c r="J128" s="24">
        <v>0</v>
      </c>
      <c r="K128" s="24">
        <v>66</v>
      </c>
      <c r="L128" s="24">
        <f t="shared" si="23"/>
        <v>66</v>
      </c>
      <c r="M128" s="28">
        <v>0</v>
      </c>
      <c r="N128" s="28">
        <v>0</v>
      </c>
      <c r="O128" s="9">
        <f t="shared" si="22"/>
        <v>2.237309826122382E-06</v>
      </c>
    </row>
    <row r="129" spans="1:15" ht="15.75" customHeight="1" hidden="1">
      <c r="A129" s="34"/>
      <c r="B129" s="35"/>
      <c r="C129" s="33" t="s">
        <v>97</v>
      </c>
      <c r="D129" s="11"/>
      <c r="E129" s="24">
        <v>16126</v>
      </c>
      <c r="F129" s="24">
        <v>0</v>
      </c>
      <c r="G129" s="24">
        <v>0</v>
      </c>
      <c r="H129" s="24">
        <v>0</v>
      </c>
      <c r="I129" s="24">
        <v>0</v>
      </c>
      <c r="J129" s="24">
        <v>1886</v>
      </c>
      <c r="K129" s="24"/>
      <c r="L129" s="24">
        <f t="shared" si="23"/>
        <v>0</v>
      </c>
      <c r="M129" s="28"/>
      <c r="N129" s="28"/>
      <c r="O129" s="9">
        <f t="shared" si="22"/>
        <v>0</v>
      </c>
    </row>
    <row r="130" spans="1:15" ht="16.5" customHeight="1">
      <c r="A130" s="34"/>
      <c r="B130" s="35" t="s">
        <v>58</v>
      </c>
      <c r="C130" s="33" t="s">
        <v>85</v>
      </c>
      <c r="D130" s="11"/>
      <c r="E130" s="24">
        <v>6208</v>
      </c>
      <c r="F130" s="24">
        <v>0</v>
      </c>
      <c r="G130" s="24">
        <v>0</v>
      </c>
      <c r="H130" s="24">
        <v>297</v>
      </c>
      <c r="I130" s="24">
        <v>0</v>
      </c>
      <c r="J130" s="24">
        <v>0</v>
      </c>
      <c r="K130" s="24">
        <v>3563</v>
      </c>
      <c r="L130" s="24">
        <f t="shared" si="23"/>
        <v>3563</v>
      </c>
      <c r="M130" s="28">
        <v>0</v>
      </c>
      <c r="N130" s="28">
        <v>0</v>
      </c>
      <c r="O130" s="9">
        <f t="shared" si="22"/>
        <v>0.0001207808319768795</v>
      </c>
    </row>
    <row r="131" spans="1:15" ht="15.75" customHeight="1">
      <c r="A131" s="34"/>
      <c r="B131" s="35" t="s">
        <v>64</v>
      </c>
      <c r="C131" s="33" t="s">
        <v>65</v>
      </c>
      <c r="D131" s="11"/>
      <c r="E131" s="24">
        <v>2165</v>
      </c>
      <c r="F131" s="24">
        <v>0</v>
      </c>
      <c r="G131" s="24">
        <v>0</v>
      </c>
      <c r="H131" s="24">
        <v>3972</v>
      </c>
      <c r="I131" s="24">
        <v>0</v>
      </c>
      <c r="J131" s="24">
        <v>0</v>
      </c>
      <c r="K131" s="24">
        <v>3850</v>
      </c>
      <c r="L131" s="24">
        <f t="shared" si="23"/>
        <v>3850</v>
      </c>
      <c r="M131" s="28">
        <v>0</v>
      </c>
      <c r="N131" s="28">
        <v>0</v>
      </c>
      <c r="O131" s="9">
        <f t="shared" si="22"/>
        <v>0.00013050973985713897</v>
      </c>
    </row>
    <row r="132" spans="1:15" ht="15.75" customHeight="1">
      <c r="A132" s="34"/>
      <c r="B132" s="35" t="s">
        <v>66</v>
      </c>
      <c r="C132" s="33" t="s">
        <v>67</v>
      </c>
      <c r="D132" s="11"/>
      <c r="E132" s="24">
        <v>393</v>
      </c>
      <c r="F132" s="24">
        <v>0</v>
      </c>
      <c r="G132" s="24">
        <v>0</v>
      </c>
      <c r="H132" s="24">
        <v>209</v>
      </c>
      <c r="I132" s="24">
        <v>0</v>
      </c>
      <c r="J132" s="24">
        <v>0</v>
      </c>
      <c r="K132" s="24">
        <v>214</v>
      </c>
      <c r="L132" s="24">
        <f t="shared" si="23"/>
        <v>214</v>
      </c>
      <c r="M132" s="28">
        <v>0</v>
      </c>
      <c r="N132" s="28">
        <v>0</v>
      </c>
      <c r="O132" s="9">
        <f t="shared" si="22"/>
        <v>7.254307618033178E-06</v>
      </c>
    </row>
    <row r="133" spans="1:15" ht="15" customHeight="1">
      <c r="A133" s="21" t="s">
        <v>123</v>
      </c>
      <c r="B133" s="31"/>
      <c r="C133" s="7" t="s">
        <v>124</v>
      </c>
      <c r="D133" s="10">
        <f>D134</f>
        <v>11000</v>
      </c>
      <c r="E133" s="10">
        <f>E134+E136</f>
        <v>10000</v>
      </c>
      <c r="F133" s="10">
        <f>F134+F136</f>
        <v>0</v>
      </c>
      <c r="G133" s="10">
        <f>G134+G136</f>
        <v>0</v>
      </c>
      <c r="H133" s="10">
        <f>H136+H135</f>
        <v>12500</v>
      </c>
      <c r="I133" s="10">
        <f>I135+I136</f>
        <v>0</v>
      </c>
      <c r="J133" s="10">
        <f>J135+J136</f>
        <v>0</v>
      </c>
      <c r="K133" s="10">
        <f>K135+K136</f>
        <v>8050</v>
      </c>
      <c r="L133" s="10">
        <f>L134+L136+L135</f>
        <v>0</v>
      </c>
      <c r="M133" s="23">
        <f>M134+M136+M135</f>
        <v>8050</v>
      </c>
      <c r="N133" s="23">
        <f>N134</f>
        <v>0</v>
      </c>
      <c r="O133" s="9">
        <f t="shared" si="22"/>
        <v>0.00027288400151947236</v>
      </c>
    </row>
    <row r="134" spans="1:15" ht="0.75" customHeight="1" hidden="1">
      <c r="A134" s="34"/>
      <c r="B134" s="35"/>
      <c r="C134" s="33" t="s">
        <v>97</v>
      </c>
      <c r="D134" s="11">
        <v>11000</v>
      </c>
      <c r="E134" s="24">
        <v>3000</v>
      </c>
      <c r="F134" s="24">
        <v>0</v>
      </c>
      <c r="G134" s="24">
        <v>0</v>
      </c>
      <c r="H134" s="24">
        <v>0</v>
      </c>
      <c r="I134" s="24">
        <v>0</v>
      </c>
      <c r="J134" s="24">
        <v>0</v>
      </c>
      <c r="K134" s="24"/>
      <c r="L134" s="24">
        <v>0</v>
      </c>
      <c r="M134" s="28">
        <f>H134</f>
        <v>0</v>
      </c>
      <c r="N134" s="28">
        <v>0</v>
      </c>
      <c r="O134" s="9">
        <f t="shared" si="22"/>
        <v>0</v>
      </c>
    </row>
    <row r="135" spans="1:15" ht="15.75" customHeight="1">
      <c r="A135" s="34"/>
      <c r="B135" s="35" t="s">
        <v>58</v>
      </c>
      <c r="C135" s="33" t="s">
        <v>85</v>
      </c>
      <c r="D135" s="11"/>
      <c r="E135" s="24"/>
      <c r="F135" s="24"/>
      <c r="G135" s="24"/>
      <c r="H135" s="24">
        <v>500</v>
      </c>
      <c r="I135" s="24">
        <v>0</v>
      </c>
      <c r="J135" s="24">
        <v>0</v>
      </c>
      <c r="K135" s="24">
        <v>800</v>
      </c>
      <c r="L135" s="24">
        <v>0</v>
      </c>
      <c r="M135" s="28">
        <f>K135</f>
        <v>800</v>
      </c>
      <c r="N135" s="28">
        <v>0</v>
      </c>
      <c r="O135" s="9">
        <f t="shared" si="22"/>
        <v>2.71189069833016E-05</v>
      </c>
    </row>
    <row r="136" spans="1:15" ht="16.5" customHeight="1">
      <c r="A136" s="34"/>
      <c r="B136" s="35" t="s">
        <v>64</v>
      </c>
      <c r="C136" s="33" t="s">
        <v>65</v>
      </c>
      <c r="D136" s="11"/>
      <c r="E136" s="24">
        <v>7000</v>
      </c>
      <c r="F136" s="24">
        <v>0</v>
      </c>
      <c r="G136" s="24">
        <v>0</v>
      </c>
      <c r="H136" s="24">
        <v>12000</v>
      </c>
      <c r="I136" s="24">
        <v>0</v>
      </c>
      <c r="J136" s="24">
        <v>0</v>
      </c>
      <c r="K136" s="24">
        <v>7250</v>
      </c>
      <c r="L136" s="24">
        <v>0</v>
      </c>
      <c r="M136" s="28">
        <f>K136</f>
        <v>7250</v>
      </c>
      <c r="N136" s="28">
        <v>0</v>
      </c>
      <c r="O136" s="9">
        <f t="shared" si="22"/>
        <v>0.0002457650945361708</v>
      </c>
    </row>
    <row r="137" spans="1:15" ht="53.25" customHeight="1" hidden="1">
      <c r="A137" s="21" t="s">
        <v>641</v>
      </c>
      <c r="B137" s="31"/>
      <c r="C137" s="7" t="s">
        <v>643</v>
      </c>
      <c r="D137" s="10"/>
      <c r="E137" s="10"/>
      <c r="F137" s="10"/>
      <c r="G137" s="10"/>
      <c r="H137" s="10">
        <f aca="true" t="shared" si="24" ref="H137:N137">H138</f>
        <v>13519</v>
      </c>
      <c r="I137" s="10">
        <f t="shared" si="24"/>
        <v>0</v>
      </c>
      <c r="J137" s="10">
        <f t="shared" si="24"/>
        <v>0</v>
      </c>
      <c r="K137" s="10">
        <f t="shared" si="24"/>
        <v>0</v>
      </c>
      <c r="L137" s="10">
        <f t="shared" si="24"/>
        <v>0</v>
      </c>
      <c r="M137" s="10">
        <f t="shared" si="24"/>
        <v>0</v>
      </c>
      <c r="N137" s="10">
        <f t="shared" si="24"/>
        <v>0</v>
      </c>
      <c r="O137" s="9">
        <f t="shared" si="22"/>
        <v>0</v>
      </c>
    </row>
    <row r="138" spans="1:15" ht="51" customHeight="1" hidden="1">
      <c r="A138" s="21" t="s">
        <v>642</v>
      </c>
      <c r="B138" s="31"/>
      <c r="C138" s="7" t="s">
        <v>660</v>
      </c>
      <c r="D138" s="10"/>
      <c r="E138" s="10"/>
      <c r="F138" s="10"/>
      <c r="G138" s="10"/>
      <c r="H138" s="10">
        <f aca="true" t="shared" si="25" ref="H138:N138">H139+H140+H141+H142</f>
        <v>13519</v>
      </c>
      <c r="I138" s="10">
        <f t="shared" si="25"/>
        <v>0</v>
      </c>
      <c r="J138" s="10">
        <f t="shared" si="25"/>
        <v>0</v>
      </c>
      <c r="K138" s="10">
        <f t="shared" si="25"/>
        <v>0</v>
      </c>
      <c r="L138" s="10">
        <f t="shared" si="25"/>
        <v>0</v>
      </c>
      <c r="M138" s="10">
        <f t="shared" si="25"/>
        <v>0</v>
      </c>
      <c r="N138" s="10">
        <f t="shared" si="25"/>
        <v>0</v>
      </c>
      <c r="O138" s="9">
        <f t="shared" si="22"/>
        <v>0</v>
      </c>
    </row>
    <row r="139" spans="1:15" ht="16.5" customHeight="1" hidden="1">
      <c r="A139" s="34"/>
      <c r="B139" s="35" t="s">
        <v>46</v>
      </c>
      <c r="C139" s="33" t="s">
        <v>47</v>
      </c>
      <c r="D139" s="24"/>
      <c r="E139" s="24"/>
      <c r="F139" s="24"/>
      <c r="G139" s="24"/>
      <c r="H139" s="24">
        <v>2000</v>
      </c>
      <c r="I139" s="24">
        <v>0</v>
      </c>
      <c r="J139" s="24">
        <v>0</v>
      </c>
      <c r="K139" s="24">
        <v>0</v>
      </c>
      <c r="L139" s="24">
        <v>0</v>
      </c>
      <c r="M139" s="25">
        <v>0</v>
      </c>
      <c r="N139" s="25">
        <v>0</v>
      </c>
      <c r="O139" s="9">
        <f t="shared" si="22"/>
        <v>0</v>
      </c>
    </row>
    <row r="140" spans="1:15" ht="14.25" customHeight="1" hidden="1">
      <c r="A140" s="34"/>
      <c r="B140" s="35" t="s">
        <v>58</v>
      </c>
      <c r="C140" s="33" t="s">
        <v>59</v>
      </c>
      <c r="D140" s="24"/>
      <c r="E140" s="24"/>
      <c r="F140" s="24"/>
      <c r="G140" s="24"/>
      <c r="H140" s="24">
        <v>4000</v>
      </c>
      <c r="I140" s="24">
        <v>0</v>
      </c>
      <c r="J140" s="24">
        <v>0</v>
      </c>
      <c r="K140" s="24">
        <v>0</v>
      </c>
      <c r="L140" s="24">
        <v>0</v>
      </c>
      <c r="M140" s="25">
        <v>0</v>
      </c>
      <c r="N140" s="25">
        <v>0</v>
      </c>
      <c r="O140" s="9">
        <f t="shared" si="22"/>
        <v>0</v>
      </c>
    </row>
    <row r="141" spans="1:15" ht="14.25" customHeight="1" hidden="1">
      <c r="A141" s="34"/>
      <c r="B141" s="35" t="s">
        <v>64</v>
      </c>
      <c r="C141" s="33" t="s">
        <v>144</v>
      </c>
      <c r="D141" s="24"/>
      <c r="E141" s="24"/>
      <c r="F141" s="24"/>
      <c r="G141" s="24"/>
      <c r="H141" s="24">
        <v>6519</v>
      </c>
      <c r="I141" s="24">
        <v>0</v>
      </c>
      <c r="J141" s="24">
        <v>0</v>
      </c>
      <c r="K141" s="24">
        <v>0</v>
      </c>
      <c r="L141" s="24">
        <v>0</v>
      </c>
      <c r="M141" s="25">
        <v>0</v>
      </c>
      <c r="N141" s="25">
        <v>0</v>
      </c>
      <c r="O141" s="9">
        <f t="shared" si="22"/>
        <v>0</v>
      </c>
    </row>
    <row r="142" spans="1:15" ht="15" customHeight="1" hidden="1">
      <c r="A142" s="34"/>
      <c r="B142" s="35" t="s">
        <v>66</v>
      </c>
      <c r="C142" s="33" t="s">
        <v>67</v>
      </c>
      <c r="D142" s="24"/>
      <c r="E142" s="24"/>
      <c r="F142" s="24"/>
      <c r="G142" s="24"/>
      <c r="H142" s="24">
        <v>1000</v>
      </c>
      <c r="I142" s="24">
        <v>0</v>
      </c>
      <c r="J142" s="24">
        <v>0</v>
      </c>
      <c r="K142" s="24">
        <v>0</v>
      </c>
      <c r="L142" s="24">
        <v>0</v>
      </c>
      <c r="M142" s="25">
        <v>0</v>
      </c>
      <c r="N142" s="25">
        <v>0</v>
      </c>
      <c r="O142" s="9">
        <f t="shared" si="22"/>
        <v>0</v>
      </c>
    </row>
    <row r="143" spans="1:15" ht="29.25" customHeight="1">
      <c r="A143" s="21" t="s">
        <v>125</v>
      </c>
      <c r="B143" s="31"/>
      <c r="C143" s="7" t="s">
        <v>126</v>
      </c>
      <c r="D143" s="10">
        <f aca="true" t="shared" si="26" ref="D143:M143">D144+D165</f>
        <v>7392202</v>
      </c>
      <c r="E143" s="10" t="e">
        <f t="shared" si="26"/>
        <v>#REF!</v>
      </c>
      <c r="F143" s="10" t="e">
        <f t="shared" si="26"/>
        <v>#REF!</v>
      </c>
      <c r="G143" s="10" t="e">
        <f t="shared" si="26"/>
        <v>#REF!</v>
      </c>
      <c r="H143" s="10" t="e">
        <f t="shared" si="26"/>
        <v>#REF!</v>
      </c>
      <c r="I143" s="10" t="e">
        <f>I144+I165</f>
        <v>#REF!</v>
      </c>
      <c r="J143" s="10" t="e">
        <f>J144+J165</f>
        <v>#REF!</v>
      </c>
      <c r="K143" s="10">
        <f>K144+K165</f>
        <v>1803000</v>
      </c>
      <c r="L143" s="10">
        <f t="shared" si="26"/>
        <v>1803000</v>
      </c>
      <c r="M143" s="23">
        <f t="shared" si="26"/>
        <v>0</v>
      </c>
      <c r="N143" s="23">
        <f>N144+N165</f>
        <v>0</v>
      </c>
      <c r="O143" s="9">
        <f t="shared" si="22"/>
        <v>0.061119236613615985</v>
      </c>
    </row>
    <row r="144" spans="1:15" ht="16.5" customHeight="1" hidden="1">
      <c r="A144" s="21" t="s">
        <v>127</v>
      </c>
      <c r="B144" s="31"/>
      <c r="C144" s="7" t="s">
        <v>128</v>
      </c>
      <c r="D144" s="10">
        <f>D147+D149+D150+D151+D152+D153+D154+D155</f>
        <v>4730178</v>
      </c>
      <c r="E144" s="10">
        <f>E145+E146+E147+E149+E150+E151+E152+E153+E154+E155+E156+E157+E159+E160+E161+E162+E163+E164+E148</f>
        <v>5110280</v>
      </c>
      <c r="F144" s="10">
        <f>F145+F146+F147+F149+F150+F151+F152+F153+F154+F155+F156+F157+F159+F160+F161+F162+F163+F164+F148</f>
        <v>329500</v>
      </c>
      <c r="G144" s="10">
        <f>G145+G146+G147+G149+G150+G151+G152+G153+G154+G155+G156+G157+G159+G160+G161+G162+G163+G164+G148</f>
        <v>329500</v>
      </c>
      <c r="H144" s="10">
        <f aca="true" t="shared" si="27" ref="H144:N144">H145+H146+H147+H148+H149+H150+H151+H152+H153+H154+H155+H156+H157+H159+H160+H161+H162+H163+H164+H158</f>
        <v>3521030</v>
      </c>
      <c r="I144" s="10">
        <f t="shared" si="27"/>
        <v>6000</v>
      </c>
      <c r="J144" s="10">
        <f t="shared" si="27"/>
        <v>0</v>
      </c>
      <c r="K144" s="10">
        <f t="shared" si="27"/>
        <v>0</v>
      </c>
      <c r="L144" s="10">
        <f t="shared" si="27"/>
        <v>0</v>
      </c>
      <c r="M144" s="10">
        <f t="shared" si="27"/>
        <v>0</v>
      </c>
      <c r="N144" s="10">
        <f t="shared" si="27"/>
        <v>0</v>
      </c>
      <c r="O144" s="9">
        <f t="shared" si="22"/>
        <v>0</v>
      </c>
    </row>
    <row r="145" spans="1:15" ht="17.25" customHeight="1" hidden="1">
      <c r="A145" s="21"/>
      <c r="B145" s="35" t="s">
        <v>44</v>
      </c>
      <c r="C145" s="33" t="s">
        <v>84</v>
      </c>
      <c r="D145" s="24"/>
      <c r="E145" s="24">
        <v>450000</v>
      </c>
      <c r="F145" s="24">
        <v>52898</v>
      </c>
      <c r="G145" s="24">
        <v>0</v>
      </c>
      <c r="H145" s="24">
        <v>365000</v>
      </c>
      <c r="I145" s="24">
        <v>0</v>
      </c>
      <c r="J145" s="24">
        <v>0</v>
      </c>
      <c r="K145" s="24">
        <v>0</v>
      </c>
      <c r="L145" s="24">
        <f>K145</f>
        <v>0</v>
      </c>
      <c r="M145" s="25">
        <v>0</v>
      </c>
      <c r="N145" s="25">
        <v>0</v>
      </c>
      <c r="O145" s="9">
        <f t="shared" si="22"/>
        <v>0</v>
      </c>
    </row>
    <row r="146" spans="1:15" ht="18" customHeight="1" hidden="1">
      <c r="A146" s="21"/>
      <c r="B146" s="35" t="s">
        <v>46</v>
      </c>
      <c r="C146" s="33" t="s">
        <v>47</v>
      </c>
      <c r="D146" s="24"/>
      <c r="E146" s="24">
        <v>35000</v>
      </c>
      <c r="F146" s="24">
        <v>0</v>
      </c>
      <c r="G146" s="24">
        <v>0</v>
      </c>
      <c r="H146" s="24">
        <v>25000</v>
      </c>
      <c r="I146" s="24">
        <v>0</v>
      </c>
      <c r="J146" s="24">
        <v>0</v>
      </c>
      <c r="K146" s="24">
        <v>0</v>
      </c>
      <c r="L146" s="24">
        <f aca="true" t="shared" si="28" ref="L146:L164">K146</f>
        <v>0</v>
      </c>
      <c r="M146" s="25">
        <v>0</v>
      </c>
      <c r="N146" s="25">
        <v>0</v>
      </c>
      <c r="O146" s="9">
        <f t="shared" si="22"/>
        <v>0</v>
      </c>
    </row>
    <row r="147" spans="1:15" ht="24.75" customHeight="1" hidden="1">
      <c r="A147" s="34"/>
      <c r="B147" s="35" t="s">
        <v>48</v>
      </c>
      <c r="C147" s="33" t="s">
        <v>49</v>
      </c>
      <c r="D147" s="11">
        <v>332400</v>
      </c>
      <c r="E147" s="24">
        <v>350100</v>
      </c>
      <c r="F147" s="24">
        <v>0</v>
      </c>
      <c r="G147" s="24">
        <v>174500</v>
      </c>
      <c r="H147" s="24">
        <v>126000</v>
      </c>
      <c r="I147" s="24">
        <v>0</v>
      </c>
      <c r="J147" s="24">
        <v>0</v>
      </c>
      <c r="K147" s="24">
        <v>0</v>
      </c>
      <c r="L147" s="24">
        <f t="shared" si="28"/>
        <v>0</v>
      </c>
      <c r="M147" s="28">
        <v>0</v>
      </c>
      <c r="N147" s="28">
        <v>0</v>
      </c>
      <c r="O147" s="9">
        <f t="shared" si="22"/>
        <v>0</v>
      </c>
    </row>
    <row r="148" spans="1:15" ht="27.75" customHeight="1" hidden="1">
      <c r="A148" s="34"/>
      <c r="B148" s="35" t="s">
        <v>50</v>
      </c>
      <c r="C148" s="33" t="s">
        <v>129</v>
      </c>
      <c r="D148" s="11"/>
      <c r="E148" s="24">
        <v>0</v>
      </c>
      <c r="F148" s="24">
        <v>174500</v>
      </c>
      <c r="G148" s="24">
        <v>0</v>
      </c>
      <c r="H148" s="24">
        <v>143700</v>
      </c>
      <c r="I148" s="24">
        <v>0</v>
      </c>
      <c r="J148" s="24">
        <v>0</v>
      </c>
      <c r="K148" s="24">
        <v>0</v>
      </c>
      <c r="L148" s="24">
        <f t="shared" si="28"/>
        <v>0</v>
      </c>
      <c r="M148" s="28">
        <v>0</v>
      </c>
      <c r="N148" s="28">
        <v>0</v>
      </c>
      <c r="O148" s="9">
        <f t="shared" si="22"/>
        <v>0</v>
      </c>
    </row>
    <row r="149" spans="1:15" ht="15" customHeight="1" hidden="1">
      <c r="A149" s="34"/>
      <c r="B149" s="35" t="s">
        <v>52</v>
      </c>
      <c r="C149" s="33" t="s">
        <v>53</v>
      </c>
      <c r="D149" s="11">
        <v>19900</v>
      </c>
      <c r="E149" s="24">
        <v>22950</v>
      </c>
      <c r="F149" s="24">
        <v>700</v>
      </c>
      <c r="G149" s="24">
        <v>0</v>
      </c>
      <c r="H149" s="24">
        <v>27800</v>
      </c>
      <c r="I149" s="24">
        <v>0</v>
      </c>
      <c r="J149" s="24">
        <v>0</v>
      </c>
      <c r="K149" s="24">
        <v>0</v>
      </c>
      <c r="L149" s="24">
        <f t="shared" si="28"/>
        <v>0</v>
      </c>
      <c r="M149" s="28">
        <v>0</v>
      </c>
      <c r="N149" s="28">
        <v>0</v>
      </c>
      <c r="O149" s="9">
        <f t="shared" si="22"/>
        <v>0</v>
      </c>
    </row>
    <row r="150" spans="1:15" ht="25.5" customHeight="1" hidden="1">
      <c r="A150" s="34"/>
      <c r="B150" s="35" t="s">
        <v>130</v>
      </c>
      <c r="C150" s="33" t="s">
        <v>131</v>
      </c>
      <c r="D150" s="11">
        <v>2944100</v>
      </c>
      <c r="E150" s="24">
        <v>3354273</v>
      </c>
      <c r="F150" s="24">
        <v>0</v>
      </c>
      <c r="G150" s="24">
        <v>150000</v>
      </c>
      <c r="H150" s="24">
        <v>1926500</v>
      </c>
      <c r="I150" s="24">
        <v>0</v>
      </c>
      <c r="J150" s="24">
        <v>0</v>
      </c>
      <c r="K150" s="24">
        <v>0</v>
      </c>
      <c r="L150" s="24">
        <f t="shared" si="28"/>
        <v>0</v>
      </c>
      <c r="M150" s="28">
        <v>0</v>
      </c>
      <c r="N150" s="28">
        <v>0</v>
      </c>
      <c r="O150" s="9">
        <f aca="true" t="shared" si="29" ref="O150:O215">K150/$K$549</f>
        <v>0</v>
      </c>
    </row>
    <row r="151" spans="1:15" ht="15.75" customHeight="1" hidden="1">
      <c r="A151" s="34"/>
      <c r="B151" s="35" t="s">
        <v>132</v>
      </c>
      <c r="C151" s="33" t="s">
        <v>133</v>
      </c>
      <c r="D151" s="11">
        <v>66700</v>
      </c>
      <c r="E151" s="24">
        <v>85698</v>
      </c>
      <c r="F151" s="24">
        <v>48402</v>
      </c>
      <c r="G151" s="24">
        <v>0</v>
      </c>
      <c r="H151" s="24">
        <v>50000</v>
      </c>
      <c r="I151" s="24">
        <v>0</v>
      </c>
      <c r="J151" s="24">
        <v>0</v>
      </c>
      <c r="K151" s="24">
        <v>0</v>
      </c>
      <c r="L151" s="24">
        <f t="shared" si="28"/>
        <v>0</v>
      </c>
      <c r="M151" s="28">
        <v>0</v>
      </c>
      <c r="N151" s="28">
        <v>0</v>
      </c>
      <c r="O151" s="9">
        <f t="shared" si="29"/>
        <v>0</v>
      </c>
    </row>
    <row r="152" spans="1:15" ht="14.25" customHeight="1" hidden="1">
      <c r="A152" s="34"/>
      <c r="B152" s="35" t="s">
        <v>134</v>
      </c>
      <c r="C152" s="33" t="s">
        <v>135</v>
      </c>
      <c r="D152" s="11">
        <v>202700</v>
      </c>
      <c r="E152" s="24">
        <v>233700</v>
      </c>
      <c r="F152" s="24">
        <v>2300</v>
      </c>
      <c r="G152" s="24">
        <v>0</v>
      </c>
      <c r="H152" s="24">
        <v>279200</v>
      </c>
      <c r="I152" s="24">
        <v>0</v>
      </c>
      <c r="J152" s="24">
        <v>0</v>
      </c>
      <c r="K152" s="24">
        <v>0</v>
      </c>
      <c r="L152" s="24">
        <f t="shared" si="28"/>
        <v>0</v>
      </c>
      <c r="M152" s="28">
        <v>0</v>
      </c>
      <c r="N152" s="28">
        <v>0</v>
      </c>
      <c r="O152" s="9">
        <f t="shared" si="29"/>
        <v>0</v>
      </c>
    </row>
    <row r="153" spans="1:15" ht="26.25" customHeight="1" hidden="1">
      <c r="A153" s="34"/>
      <c r="B153" s="35" t="s">
        <v>136</v>
      </c>
      <c r="C153" s="33" t="s">
        <v>137</v>
      </c>
      <c r="D153" s="11">
        <v>18700</v>
      </c>
      <c r="E153" s="24">
        <v>16600</v>
      </c>
      <c r="F153" s="24">
        <v>21600</v>
      </c>
      <c r="G153" s="24">
        <v>0</v>
      </c>
      <c r="H153" s="24">
        <v>29000</v>
      </c>
      <c r="I153" s="24">
        <v>0</v>
      </c>
      <c r="J153" s="24">
        <v>0</v>
      </c>
      <c r="K153" s="24">
        <v>0</v>
      </c>
      <c r="L153" s="24">
        <f t="shared" si="28"/>
        <v>0</v>
      </c>
      <c r="M153" s="28">
        <v>0</v>
      </c>
      <c r="N153" s="28">
        <v>0</v>
      </c>
      <c r="O153" s="9">
        <f t="shared" si="29"/>
        <v>0</v>
      </c>
    </row>
    <row r="154" spans="1:15" ht="16.5" customHeight="1" hidden="1">
      <c r="A154" s="34"/>
      <c r="B154" s="36" t="s">
        <v>106</v>
      </c>
      <c r="C154" s="33" t="s">
        <v>83</v>
      </c>
      <c r="D154" s="11">
        <v>69700</v>
      </c>
      <c r="E154" s="24">
        <v>65638</v>
      </c>
      <c r="F154" s="24">
        <v>19500</v>
      </c>
      <c r="G154" s="24">
        <v>0</v>
      </c>
      <c r="H154" s="24">
        <v>78600</v>
      </c>
      <c r="I154" s="24">
        <v>0</v>
      </c>
      <c r="J154" s="24">
        <v>0</v>
      </c>
      <c r="K154" s="24">
        <v>0</v>
      </c>
      <c r="L154" s="24">
        <f t="shared" si="28"/>
        <v>0</v>
      </c>
      <c r="M154" s="28">
        <v>0</v>
      </c>
      <c r="N154" s="28">
        <v>0</v>
      </c>
      <c r="O154" s="9">
        <f t="shared" si="29"/>
        <v>0</v>
      </c>
    </row>
    <row r="155" spans="1:15" ht="14.25" customHeight="1" hidden="1">
      <c r="A155" s="34"/>
      <c r="B155" s="35" t="s">
        <v>56</v>
      </c>
      <c r="C155" s="33" t="s">
        <v>57</v>
      </c>
      <c r="D155" s="11">
        <v>1075978</v>
      </c>
      <c r="E155" s="24">
        <v>8871</v>
      </c>
      <c r="F155" s="24">
        <v>4600</v>
      </c>
      <c r="G155" s="24">
        <v>0</v>
      </c>
      <c r="H155" s="24">
        <v>11200</v>
      </c>
      <c r="I155" s="24">
        <v>0</v>
      </c>
      <c r="J155" s="24">
        <v>0</v>
      </c>
      <c r="K155" s="24">
        <v>0</v>
      </c>
      <c r="L155" s="24">
        <f t="shared" si="28"/>
        <v>0</v>
      </c>
      <c r="M155" s="28">
        <v>0</v>
      </c>
      <c r="N155" s="28">
        <v>0</v>
      </c>
      <c r="O155" s="9">
        <f t="shared" si="29"/>
        <v>0</v>
      </c>
    </row>
    <row r="156" spans="1:15" ht="16.5" customHeight="1" hidden="1">
      <c r="A156" s="34"/>
      <c r="B156" s="35" t="s">
        <v>58</v>
      </c>
      <c r="C156" s="33" t="s">
        <v>59</v>
      </c>
      <c r="D156" s="11"/>
      <c r="E156" s="24">
        <v>267050</v>
      </c>
      <c r="F156" s="24">
        <v>0</v>
      </c>
      <c r="G156" s="24">
        <v>0</v>
      </c>
      <c r="H156" s="24">
        <v>170000</v>
      </c>
      <c r="I156" s="24">
        <v>0</v>
      </c>
      <c r="J156" s="24">
        <v>0</v>
      </c>
      <c r="K156" s="24">
        <v>0</v>
      </c>
      <c r="L156" s="24">
        <f t="shared" si="28"/>
        <v>0</v>
      </c>
      <c r="M156" s="28">
        <v>0</v>
      </c>
      <c r="N156" s="28">
        <v>0</v>
      </c>
      <c r="O156" s="9">
        <f t="shared" si="29"/>
        <v>0</v>
      </c>
    </row>
    <row r="157" spans="1:15" ht="15.75" customHeight="1" hidden="1">
      <c r="A157" s="34"/>
      <c r="B157" s="35" t="s">
        <v>138</v>
      </c>
      <c r="C157" s="33" t="s">
        <v>139</v>
      </c>
      <c r="D157" s="11"/>
      <c r="E157" s="24">
        <v>6000</v>
      </c>
      <c r="F157" s="24">
        <v>0</v>
      </c>
      <c r="G157" s="24">
        <v>0</v>
      </c>
      <c r="H157" s="24">
        <v>2500</v>
      </c>
      <c r="I157" s="24">
        <v>0</v>
      </c>
      <c r="J157" s="24">
        <v>0</v>
      </c>
      <c r="K157" s="24">
        <v>0</v>
      </c>
      <c r="L157" s="24">
        <f t="shared" si="28"/>
        <v>0</v>
      </c>
      <c r="M157" s="28">
        <v>0</v>
      </c>
      <c r="N157" s="28">
        <v>0</v>
      </c>
      <c r="O157" s="9">
        <f t="shared" si="29"/>
        <v>0</v>
      </c>
    </row>
    <row r="158" spans="1:15" ht="15.75" customHeight="1" hidden="1">
      <c r="A158" s="34"/>
      <c r="B158" s="35" t="s">
        <v>140</v>
      </c>
      <c r="C158" s="33" t="s">
        <v>141</v>
      </c>
      <c r="D158" s="11"/>
      <c r="E158" s="24"/>
      <c r="F158" s="24"/>
      <c r="G158" s="24"/>
      <c r="H158" s="24">
        <v>39080</v>
      </c>
      <c r="I158" s="24">
        <v>0</v>
      </c>
      <c r="J158" s="24">
        <v>0</v>
      </c>
      <c r="K158" s="24">
        <v>0</v>
      </c>
      <c r="L158" s="24">
        <f t="shared" si="28"/>
        <v>0</v>
      </c>
      <c r="M158" s="28">
        <v>0</v>
      </c>
      <c r="N158" s="28">
        <v>0</v>
      </c>
      <c r="O158" s="9">
        <f t="shared" si="29"/>
        <v>0</v>
      </c>
    </row>
    <row r="159" spans="1:15" ht="16.5" customHeight="1" hidden="1">
      <c r="A159" s="34"/>
      <c r="B159" s="35" t="s">
        <v>60</v>
      </c>
      <c r="C159" s="33" t="s">
        <v>142</v>
      </c>
      <c r="D159" s="11"/>
      <c r="E159" s="24">
        <v>68300</v>
      </c>
      <c r="F159" s="24">
        <v>0</v>
      </c>
      <c r="G159" s="24">
        <v>0</v>
      </c>
      <c r="H159" s="24">
        <v>70000</v>
      </c>
      <c r="I159" s="24">
        <v>0</v>
      </c>
      <c r="J159" s="24">
        <v>0</v>
      </c>
      <c r="K159" s="24">
        <v>0</v>
      </c>
      <c r="L159" s="24">
        <f t="shared" si="28"/>
        <v>0</v>
      </c>
      <c r="M159" s="28">
        <v>0</v>
      </c>
      <c r="N159" s="28">
        <v>0</v>
      </c>
      <c r="O159" s="9">
        <f t="shared" si="29"/>
        <v>0</v>
      </c>
    </row>
    <row r="160" spans="1:15" ht="15.75" customHeight="1" hidden="1">
      <c r="A160" s="34"/>
      <c r="B160" s="35" t="s">
        <v>62</v>
      </c>
      <c r="C160" s="33" t="s">
        <v>143</v>
      </c>
      <c r="D160" s="11"/>
      <c r="E160" s="24">
        <v>15000</v>
      </c>
      <c r="F160" s="24">
        <v>0</v>
      </c>
      <c r="G160" s="24">
        <v>0</v>
      </c>
      <c r="H160" s="24">
        <v>20000</v>
      </c>
      <c r="I160" s="24">
        <v>6000</v>
      </c>
      <c r="J160" s="24">
        <v>0</v>
      </c>
      <c r="K160" s="24">
        <v>0</v>
      </c>
      <c r="L160" s="24">
        <f t="shared" si="28"/>
        <v>0</v>
      </c>
      <c r="M160" s="28">
        <v>0</v>
      </c>
      <c r="N160" s="28">
        <v>0</v>
      </c>
      <c r="O160" s="9">
        <f t="shared" si="29"/>
        <v>0</v>
      </c>
    </row>
    <row r="161" spans="1:15" ht="15.75" customHeight="1" hidden="1">
      <c r="A161" s="34"/>
      <c r="B161" s="35" t="s">
        <v>64</v>
      </c>
      <c r="C161" s="33" t="s">
        <v>144</v>
      </c>
      <c r="D161" s="11"/>
      <c r="E161" s="24">
        <v>62300</v>
      </c>
      <c r="F161" s="24">
        <v>5000</v>
      </c>
      <c r="G161" s="24">
        <v>0</v>
      </c>
      <c r="H161" s="24">
        <v>105750</v>
      </c>
      <c r="I161" s="24">
        <v>0</v>
      </c>
      <c r="J161" s="24">
        <v>0</v>
      </c>
      <c r="K161" s="24">
        <v>0</v>
      </c>
      <c r="L161" s="24">
        <f t="shared" si="28"/>
        <v>0</v>
      </c>
      <c r="M161" s="28">
        <v>0</v>
      </c>
      <c r="N161" s="28">
        <v>0</v>
      </c>
      <c r="O161" s="9">
        <f t="shared" si="29"/>
        <v>0</v>
      </c>
    </row>
    <row r="162" spans="1:15" ht="14.25" customHeight="1" hidden="1">
      <c r="A162" s="34"/>
      <c r="B162" s="35" t="s">
        <v>66</v>
      </c>
      <c r="C162" s="33" t="s">
        <v>67</v>
      </c>
      <c r="D162" s="11"/>
      <c r="E162" s="24">
        <v>38100</v>
      </c>
      <c r="F162" s="24">
        <v>0</v>
      </c>
      <c r="G162" s="24">
        <v>0</v>
      </c>
      <c r="H162" s="24">
        <v>30000</v>
      </c>
      <c r="I162" s="24">
        <v>0</v>
      </c>
      <c r="J162" s="24">
        <v>0</v>
      </c>
      <c r="K162" s="24">
        <v>0</v>
      </c>
      <c r="L162" s="24">
        <f t="shared" si="28"/>
        <v>0</v>
      </c>
      <c r="M162" s="28">
        <v>0</v>
      </c>
      <c r="N162" s="28">
        <v>0</v>
      </c>
      <c r="O162" s="9">
        <f t="shared" si="29"/>
        <v>0</v>
      </c>
    </row>
    <row r="163" spans="1:15" ht="16.5" customHeight="1" hidden="1">
      <c r="A163" s="34"/>
      <c r="B163" s="35" t="s">
        <v>70</v>
      </c>
      <c r="C163" s="33" t="s">
        <v>71</v>
      </c>
      <c r="D163" s="11"/>
      <c r="E163" s="24">
        <v>13200</v>
      </c>
      <c r="F163" s="24">
        <v>0</v>
      </c>
      <c r="G163" s="24">
        <v>0</v>
      </c>
      <c r="H163" s="24">
        <v>9800</v>
      </c>
      <c r="I163" s="24">
        <v>0</v>
      </c>
      <c r="J163" s="24">
        <v>0</v>
      </c>
      <c r="K163" s="24">
        <v>0</v>
      </c>
      <c r="L163" s="24">
        <f t="shared" si="28"/>
        <v>0</v>
      </c>
      <c r="M163" s="28">
        <v>0</v>
      </c>
      <c r="N163" s="28">
        <v>0</v>
      </c>
      <c r="O163" s="9">
        <f t="shared" si="29"/>
        <v>0</v>
      </c>
    </row>
    <row r="164" spans="1:15" ht="19.5" customHeight="1" hidden="1">
      <c r="A164" s="34"/>
      <c r="B164" s="35" t="s">
        <v>86</v>
      </c>
      <c r="C164" s="33" t="s">
        <v>87</v>
      </c>
      <c r="D164" s="11">
        <v>6030</v>
      </c>
      <c r="E164" s="24">
        <v>17500</v>
      </c>
      <c r="F164" s="24">
        <v>0</v>
      </c>
      <c r="G164" s="24">
        <v>5000</v>
      </c>
      <c r="H164" s="24">
        <v>11900</v>
      </c>
      <c r="I164" s="24">
        <v>0</v>
      </c>
      <c r="J164" s="24">
        <v>0</v>
      </c>
      <c r="K164" s="24">
        <v>0</v>
      </c>
      <c r="L164" s="24">
        <f t="shared" si="28"/>
        <v>0</v>
      </c>
      <c r="M164" s="28">
        <v>0</v>
      </c>
      <c r="N164" s="28">
        <v>0</v>
      </c>
      <c r="O164" s="9">
        <f t="shared" si="29"/>
        <v>0</v>
      </c>
    </row>
    <row r="165" spans="1:15" ht="26.25" customHeight="1">
      <c r="A165" s="21" t="s">
        <v>145</v>
      </c>
      <c r="B165" s="31"/>
      <c r="C165" s="7" t="s">
        <v>146</v>
      </c>
      <c r="D165" s="10">
        <f>D166+D167+D168+D169+D170+D171+D172+D173</f>
        <v>2662024</v>
      </c>
      <c r="E165" s="10" t="e">
        <f>E166+E167+E168+E169+E170+E171+E172+E173+E174+E175+E177+E178+E179+E180+E181+E182+E183+E184+E186+#REF!+E185</f>
        <v>#REF!</v>
      </c>
      <c r="F165" s="10" t="e">
        <f>F166+F167+F168+F169+F170+F171+F172+F173+F174+F175+F178+F179+F180+F181+F183+F184+F186+#REF!+F185</f>
        <v>#REF!</v>
      </c>
      <c r="G165" s="10" t="e">
        <f>G166+G167+G168+G169+G170+G171+G172+G173+G174+G175+G178+G179+G180+G181+G183+G184+G186+#REF!+G185</f>
        <v>#REF!</v>
      </c>
      <c r="H165" s="10" t="e">
        <f>H166+H167+H168+H169+H170+H171+H172+H173+H174+H175+H177+H178+H179+H180+H181+H182+H184+H185+H186+#REF!</f>
        <v>#REF!</v>
      </c>
      <c r="I165" s="10" t="e">
        <f>I166+I167+I168+I169+I170+I171+I172+I173+I174+I175+I177+I178+I179+I180+I181+I182+I184+I185+I186+#REF!</f>
        <v>#REF!</v>
      </c>
      <c r="J165" s="10" t="e">
        <f>J166+J167+J168+J169+J170+J171+J172+J173+J174+J175+J177+J178+J179+J180+J181+J182+J184+J185+J186+#REF!</f>
        <v>#REF!</v>
      </c>
      <c r="K165" s="10">
        <f>K166+K167+K168+K169+K170+K171+K172+K173+K174+K175+K177+K178+K179+K180+K181+K182+K184+K185+K186+K176</f>
        <v>1803000</v>
      </c>
      <c r="L165" s="10">
        <f>L166+L167+L168+L169+L170+L171+L172+L173+L174+L175+L177+L178+L179+L180+L181+L182+L184+L185+L186+L176</f>
        <v>1803000</v>
      </c>
      <c r="M165" s="10">
        <f>M166+M167+M168+M169+M170+M171+M172+M173+M174+M175+M177+M178+M179+M180+M181+M182+M184+M185+M186+M176</f>
        <v>0</v>
      </c>
      <c r="N165" s="10">
        <f>N166+N167+N168+N169+N170+N171+N172+N173+N174+N175+N177+N178+N179+N180+N181+N182+N184+N185+N186+N176</f>
        <v>0</v>
      </c>
      <c r="O165" s="9">
        <f t="shared" si="29"/>
        <v>0.061119236613615985</v>
      </c>
    </row>
    <row r="166" spans="1:15" ht="24.75" customHeight="1">
      <c r="A166" s="34"/>
      <c r="B166" s="35" t="s">
        <v>50</v>
      </c>
      <c r="C166" s="33" t="s">
        <v>129</v>
      </c>
      <c r="D166" s="11">
        <v>15218</v>
      </c>
      <c r="E166" s="24">
        <v>14500</v>
      </c>
      <c r="F166" s="24">
        <v>1000</v>
      </c>
      <c r="G166" s="24">
        <v>0</v>
      </c>
      <c r="H166" s="24">
        <v>16650</v>
      </c>
      <c r="I166" s="24">
        <v>0</v>
      </c>
      <c r="J166" s="24">
        <v>0</v>
      </c>
      <c r="K166" s="24">
        <v>17000</v>
      </c>
      <c r="L166" s="24">
        <f>K166</f>
        <v>17000</v>
      </c>
      <c r="M166" s="28">
        <v>0</v>
      </c>
      <c r="N166" s="28">
        <v>0</v>
      </c>
      <c r="O166" s="9">
        <f t="shared" si="29"/>
        <v>0.000576276773395159</v>
      </c>
    </row>
    <row r="167" spans="1:15" ht="15.75" customHeight="1">
      <c r="A167" s="34"/>
      <c r="B167" s="35" t="s">
        <v>52</v>
      </c>
      <c r="C167" s="33" t="s">
        <v>53</v>
      </c>
      <c r="D167" s="11">
        <v>782</v>
      </c>
      <c r="E167" s="24">
        <v>1200</v>
      </c>
      <c r="F167" s="24">
        <v>0</v>
      </c>
      <c r="G167" s="24">
        <v>14</v>
      </c>
      <c r="H167" s="24">
        <v>1214</v>
      </c>
      <c r="I167" s="24">
        <v>0</v>
      </c>
      <c r="J167" s="24">
        <v>0</v>
      </c>
      <c r="K167" s="24">
        <v>1415</v>
      </c>
      <c r="L167" s="24">
        <f aca="true" t="shared" si="30" ref="L167:L186">K167</f>
        <v>1415</v>
      </c>
      <c r="M167" s="28">
        <v>0</v>
      </c>
      <c r="N167" s="28">
        <v>0</v>
      </c>
      <c r="O167" s="9">
        <f t="shared" si="29"/>
        <v>4.7966566726714705E-05</v>
      </c>
    </row>
    <row r="168" spans="1:15" ht="24" customHeight="1">
      <c r="A168" s="34"/>
      <c r="B168" s="35" t="s">
        <v>130</v>
      </c>
      <c r="C168" s="33" t="s">
        <v>131</v>
      </c>
      <c r="D168" s="11">
        <v>1635532</v>
      </c>
      <c r="E168" s="24">
        <v>1917450</v>
      </c>
      <c r="F168" s="24">
        <v>0</v>
      </c>
      <c r="G168" s="24">
        <v>0</v>
      </c>
      <c r="H168" s="24">
        <v>1085359</v>
      </c>
      <c r="I168" s="24">
        <v>0</v>
      </c>
      <c r="J168" s="24">
        <v>0</v>
      </c>
      <c r="K168" s="24">
        <v>1149573</v>
      </c>
      <c r="L168" s="24">
        <f t="shared" si="30"/>
        <v>1149573</v>
      </c>
      <c r="M168" s="28">
        <v>0</v>
      </c>
      <c r="N168" s="28">
        <v>0</v>
      </c>
      <c r="O168" s="9">
        <f t="shared" si="29"/>
        <v>0.03896895407189371</v>
      </c>
    </row>
    <row r="169" spans="1:15" ht="15" customHeight="1">
      <c r="A169" s="34"/>
      <c r="B169" s="35" t="s">
        <v>132</v>
      </c>
      <c r="C169" s="33" t="s">
        <v>133</v>
      </c>
      <c r="D169" s="11">
        <v>15859</v>
      </c>
      <c r="E169" s="24">
        <v>46700</v>
      </c>
      <c r="F169" s="24">
        <v>0</v>
      </c>
      <c r="G169" s="24">
        <v>0</v>
      </c>
      <c r="H169" s="24">
        <v>24268</v>
      </c>
      <c r="I169" s="24">
        <v>0</v>
      </c>
      <c r="J169" s="24">
        <v>0</v>
      </c>
      <c r="K169" s="24">
        <v>33700</v>
      </c>
      <c r="L169" s="24">
        <f t="shared" si="30"/>
        <v>33700</v>
      </c>
      <c r="M169" s="28">
        <v>0</v>
      </c>
      <c r="N169" s="28">
        <v>0</v>
      </c>
      <c r="O169" s="9">
        <f t="shared" si="29"/>
        <v>0.00114238395667158</v>
      </c>
    </row>
    <row r="170" spans="1:15" ht="15.75" customHeight="1">
      <c r="A170" s="34"/>
      <c r="B170" s="35" t="s">
        <v>134</v>
      </c>
      <c r="C170" s="33" t="s">
        <v>135</v>
      </c>
      <c r="D170" s="11">
        <v>96233</v>
      </c>
      <c r="E170" s="24">
        <v>146640</v>
      </c>
      <c r="F170" s="24">
        <v>0</v>
      </c>
      <c r="G170" s="24">
        <v>15640</v>
      </c>
      <c r="H170" s="24">
        <v>84454</v>
      </c>
      <c r="I170" s="24">
        <v>0</v>
      </c>
      <c r="J170" s="24">
        <v>0</v>
      </c>
      <c r="K170" s="24">
        <v>86500</v>
      </c>
      <c r="L170" s="24">
        <f t="shared" si="30"/>
        <v>86500</v>
      </c>
      <c r="M170" s="28">
        <v>0</v>
      </c>
      <c r="N170" s="28">
        <v>0</v>
      </c>
      <c r="O170" s="9">
        <f t="shared" si="29"/>
        <v>0.0029322318175694856</v>
      </c>
    </row>
    <row r="171" spans="1:15" ht="38.25" customHeight="1">
      <c r="A171" s="34"/>
      <c r="B171" s="35" t="s">
        <v>136</v>
      </c>
      <c r="C171" s="33" t="s">
        <v>137</v>
      </c>
      <c r="D171" s="11">
        <v>15000</v>
      </c>
      <c r="E171" s="24">
        <v>25000</v>
      </c>
      <c r="F171" s="24">
        <v>0</v>
      </c>
      <c r="G171" s="24">
        <v>21800</v>
      </c>
      <c r="H171" s="24">
        <v>16555</v>
      </c>
      <c r="I171" s="24">
        <v>0</v>
      </c>
      <c r="J171" s="24">
        <v>0</v>
      </c>
      <c r="K171" s="24">
        <v>31300</v>
      </c>
      <c r="L171" s="24">
        <f t="shared" si="30"/>
        <v>31300</v>
      </c>
      <c r="M171" s="28">
        <v>0</v>
      </c>
      <c r="N171" s="28">
        <v>0</v>
      </c>
      <c r="O171" s="9">
        <f t="shared" si="29"/>
        <v>0.0010610272357216752</v>
      </c>
    </row>
    <row r="172" spans="1:15" ht="18" customHeight="1">
      <c r="A172" s="34"/>
      <c r="B172" s="36" t="s">
        <v>106</v>
      </c>
      <c r="C172" s="33" t="s">
        <v>122</v>
      </c>
      <c r="D172" s="11">
        <v>39438</v>
      </c>
      <c r="E172" s="24">
        <v>71560</v>
      </c>
      <c r="F172" s="24">
        <v>0</v>
      </c>
      <c r="G172" s="24">
        <v>26000</v>
      </c>
      <c r="H172" s="24">
        <v>32004</v>
      </c>
      <c r="I172" s="24">
        <v>0</v>
      </c>
      <c r="J172" s="24">
        <v>0</v>
      </c>
      <c r="K172" s="24">
        <v>38000</v>
      </c>
      <c r="L172" s="24">
        <f t="shared" si="30"/>
        <v>38000</v>
      </c>
      <c r="M172" s="28">
        <v>0</v>
      </c>
      <c r="N172" s="28">
        <v>0</v>
      </c>
      <c r="O172" s="9">
        <f t="shared" si="29"/>
        <v>0.001288148081706826</v>
      </c>
    </row>
    <row r="173" spans="1:15" ht="15.75" customHeight="1">
      <c r="A173" s="34"/>
      <c r="B173" s="35" t="s">
        <v>56</v>
      </c>
      <c r="C173" s="33" t="s">
        <v>57</v>
      </c>
      <c r="D173" s="11">
        <v>843962</v>
      </c>
      <c r="E173" s="24">
        <v>12030</v>
      </c>
      <c r="F173" s="24">
        <v>0</v>
      </c>
      <c r="G173" s="24">
        <v>5000</v>
      </c>
      <c r="H173" s="24">
        <v>4780</v>
      </c>
      <c r="I173" s="24">
        <v>0</v>
      </c>
      <c r="J173" s="24">
        <v>0</v>
      </c>
      <c r="K173" s="24">
        <v>5410</v>
      </c>
      <c r="L173" s="24">
        <f t="shared" si="30"/>
        <v>5410</v>
      </c>
      <c r="M173" s="28">
        <v>0</v>
      </c>
      <c r="N173" s="28">
        <v>0</v>
      </c>
      <c r="O173" s="9">
        <f t="shared" si="29"/>
        <v>0.00018339160847457707</v>
      </c>
    </row>
    <row r="174" spans="1:15" ht="15.75" customHeight="1">
      <c r="A174" s="34"/>
      <c r="B174" s="35" t="s">
        <v>44</v>
      </c>
      <c r="C174" s="33" t="s">
        <v>84</v>
      </c>
      <c r="D174" s="11"/>
      <c r="E174" s="24">
        <v>265000</v>
      </c>
      <c r="F174" s="24">
        <v>25000</v>
      </c>
      <c r="G174" s="24">
        <v>0</v>
      </c>
      <c r="H174" s="24">
        <v>184000</v>
      </c>
      <c r="I174" s="24">
        <v>0</v>
      </c>
      <c r="J174" s="24">
        <v>0</v>
      </c>
      <c r="K174" s="24">
        <v>219000</v>
      </c>
      <c r="L174" s="24">
        <f t="shared" si="30"/>
        <v>219000</v>
      </c>
      <c r="M174" s="28">
        <v>0</v>
      </c>
      <c r="N174" s="28">
        <v>0</v>
      </c>
      <c r="O174" s="9">
        <f t="shared" si="29"/>
        <v>0.007423800786678814</v>
      </c>
    </row>
    <row r="175" spans="1:15" ht="15.75" customHeight="1">
      <c r="A175" s="34"/>
      <c r="B175" s="35" t="s">
        <v>58</v>
      </c>
      <c r="C175" s="33" t="s">
        <v>59</v>
      </c>
      <c r="D175" s="11"/>
      <c r="E175" s="24">
        <v>296300</v>
      </c>
      <c r="F175" s="24">
        <v>62410</v>
      </c>
      <c r="G175" s="24">
        <v>0</v>
      </c>
      <c r="H175" s="24">
        <v>162194</v>
      </c>
      <c r="I175" s="24">
        <v>0</v>
      </c>
      <c r="J175" s="24">
        <v>0</v>
      </c>
      <c r="K175" s="24">
        <v>83821</v>
      </c>
      <c r="L175" s="24">
        <f t="shared" si="30"/>
        <v>83821</v>
      </c>
      <c r="M175" s="28">
        <v>0</v>
      </c>
      <c r="N175" s="28">
        <v>0</v>
      </c>
      <c r="O175" s="9">
        <f t="shared" si="29"/>
        <v>0.0028414173778091543</v>
      </c>
    </row>
    <row r="176" spans="1:15" ht="15.75" customHeight="1">
      <c r="A176" s="34"/>
      <c r="B176" s="35" t="s">
        <v>138</v>
      </c>
      <c r="C176" s="33" t="s">
        <v>139</v>
      </c>
      <c r="D176" s="11"/>
      <c r="E176" s="24"/>
      <c r="F176" s="24"/>
      <c r="G176" s="24"/>
      <c r="H176" s="24"/>
      <c r="I176" s="24"/>
      <c r="J176" s="24"/>
      <c r="K176" s="24">
        <v>2000</v>
      </c>
      <c r="L176" s="24">
        <f>K176</f>
        <v>2000</v>
      </c>
      <c r="M176" s="28">
        <v>0</v>
      </c>
      <c r="N176" s="28">
        <v>0</v>
      </c>
      <c r="O176" s="9">
        <f t="shared" si="29"/>
        <v>6.7797267458254E-05</v>
      </c>
    </row>
    <row r="177" spans="1:15" ht="16.5" customHeight="1">
      <c r="A177" s="34"/>
      <c r="B177" s="35" t="s">
        <v>140</v>
      </c>
      <c r="C177" s="33" t="s">
        <v>141</v>
      </c>
      <c r="D177" s="11"/>
      <c r="E177" s="24">
        <v>0</v>
      </c>
      <c r="F177" s="24"/>
      <c r="G177" s="24"/>
      <c r="H177" s="24">
        <v>69720</v>
      </c>
      <c r="I177" s="24">
        <v>0</v>
      </c>
      <c r="J177" s="24">
        <v>0</v>
      </c>
      <c r="K177" s="24">
        <v>35500</v>
      </c>
      <c r="L177" s="24">
        <f t="shared" si="30"/>
        <v>35500</v>
      </c>
      <c r="M177" s="28">
        <v>0</v>
      </c>
      <c r="N177" s="28">
        <v>0</v>
      </c>
      <c r="O177" s="9">
        <f t="shared" si="29"/>
        <v>0.0012034014973840085</v>
      </c>
    </row>
    <row r="178" spans="1:15" ht="15.75" customHeight="1">
      <c r="A178" s="34"/>
      <c r="B178" s="35" t="s">
        <v>60</v>
      </c>
      <c r="C178" s="33" t="s">
        <v>142</v>
      </c>
      <c r="D178" s="11"/>
      <c r="E178" s="24">
        <v>25000</v>
      </c>
      <c r="F178" s="24">
        <v>0</v>
      </c>
      <c r="G178" s="24">
        <v>5100</v>
      </c>
      <c r="H178" s="24">
        <v>15000</v>
      </c>
      <c r="I178" s="24">
        <v>0</v>
      </c>
      <c r="J178" s="24">
        <v>0</v>
      </c>
      <c r="K178" s="24">
        <v>17000</v>
      </c>
      <c r="L178" s="24">
        <f t="shared" si="30"/>
        <v>17000</v>
      </c>
      <c r="M178" s="28">
        <v>0</v>
      </c>
      <c r="N178" s="28">
        <v>0</v>
      </c>
      <c r="O178" s="9">
        <f t="shared" si="29"/>
        <v>0.000576276773395159</v>
      </c>
    </row>
    <row r="179" spans="1:15" ht="17.25" customHeight="1">
      <c r="A179" s="34"/>
      <c r="B179" s="35" t="s">
        <v>62</v>
      </c>
      <c r="C179" s="33" t="s">
        <v>143</v>
      </c>
      <c r="D179" s="11"/>
      <c r="E179" s="24">
        <v>10000</v>
      </c>
      <c r="F179" s="24">
        <v>5000</v>
      </c>
      <c r="G179" s="24">
        <v>0</v>
      </c>
      <c r="H179" s="24">
        <v>16000</v>
      </c>
      <c r="I179" s="24">
        <v>0</v>
      </c>
      <c r="J179" s="24">
        <v>0</v>
      </c>
      <c r="K179" s="24">
        <v>3245</v>
      </c>
      <c r="L179" s="24">
        <f t="shared" si="30"/>
        <v>3245</v>
      </c>
      <c r="M179" s="28">
        <v>0</v>
      </c>
      <c r="N179" s="28">
        <v>0</v>
      </c>
      <c r="O179" s="9">
        <f t="shared" si="29"/>
        <v>0.00011000106645101711</v>
      </c>
    </row>
    <row r="180" spans="1:15" ht="17.25" customHeight="1">
      <c r="A180" s="34"/>
      <c r="B180" s="35" t="s">
        <v>64</v>
      </c>
      <c r="C180" s="33" t="s">
        <v>144</v>
      </c>
      <c r="D180" s="11"/>
      <c r="E180" s="24">
        <v>58800</v>
      </c>
      <c r="F180" s="24">
        <v>10000</v>
      </c>
      <c r="G180" s="24">
        <v>0</v>
      </c>
      <c r="H180" s="24">
        <v>57000</v>
      </c>
      <c r="I180" s="24">
        <v>0</v>
      </c>
      <c r="J180" s="24">
        <v>0</v>
      </c>
      <c r="K180" s="24">
        <v>56000</v>
      </c>
      <c r="L180" s="24">
        <f t="shared" si="30"/>
        <v>56000</v>
      </c>
      <c r="M180" s="28">
        <v>0</v>
      </c>
      <c r="N180" s="28">
        <v>0</v>
      </c>
      <c r="O180" s="9">
        <f t="shared" si="29"/>
        <v>0.001898323488831112</v>
      </c>
    </row>
    <row r="181" spans="1:15" ht="14.25" customHeight="1">
      <c r="A181" s="34"/>
      <c r="B181" s="35" t="s">
        <v>66</v>
      </c>
      <c r="C181" s="33" t="s">
        <v>67</v>
      </c>
      <c r="D181" s="11"/>
      <c r="E181" s="24">
        <v>25000</v>
      </c>
      <c r="F181" s="24">
        <v>0</v>
      </c>
      <c r="G181" s="24">
        <v>17000</v>
      </c>
      <c r="H181" s="24">
        <v>7000</v>
      </c>
      <c r="I181" s="24">
        <v>0</v>
      </c>
      <c r="J181" s="24">
        <v>0</v>
      </c>
      <c r="K181" s="24">
        <v>8000</v>
      </c>
      <c r="L181" s="24">
        <f t="shared" si="30"/>
        <v>8000</v>
      </c>
      <c r="M181" s="28">
        <v>0</v>
      </c>
      <c r="N181" s="28">
        <v>0</v>
      </c>
      <c r="O181" s="9">
        <f t="shared" si="29"/>
        <v>0.000271189069833016</v>
      </c>
    </row>
    <row r="182" spans="1:15" ht="15.75" customHeight="1">
      <c r="A182" s="34"/>
      <c r="B182" s="35" t="s">
        <v>68</v>
      </c>
      <c r="C182" s="33" t="s">
        <v>69</v>
      </c>
      <c r="D182" s="11"/>
      <c r="E182" s="24">
        <v>0</v>
      </c>
      <c r="F182" s="24"/>
      <c r="G182" s="24"/>
      <c r="H182" s="24">
        <v>5800</v>
      </c>
      <c r="I182" s="24">
        <v>0</v>
      </c>
      <c r="J182" s="24">
        <v>0</v>
      </c>
      <c r="K182" s="24">
        <v>7000</v>
      </c>
      <c r="L182" s="24">
        <f t="shared" si="30"/>
        <v>7000</v>
      </c>
      <c r="M182" s="28">
        <v>0</v>
      </c>
      <c r="N182" s="28">
        <v>0</v>
      </c>
      <c r="O182" s="9">
        <f t="shared" si="29"/>
        <v>0.000237290436103889</v>
      </c>
    </row>
    <row r="183" spans="1:15" ht="19.5" customHeight="1" hidden="1">
      <c r="A183" s="34"/>
      <c r="B183" s="35" t="s">
        <v>68</v>
      </c>
      <c r="C183" s="33" t="s">
        <v>147</v>
      </c>
      <c r="D183" s="11"/>
      <c r="E183" s="24">
        <v>12500</v>
      </c>
      <c r="F183" s="24">
        <v>0</v>
      </c>
      <c r="G183" s="24">
        <v>2500</v>
      </c>
      <c r="H183" s="24">
        <v>2</v>
      </c>
      <c r="I183" s="10">
        <f>I184</f>
        <v>0</v>
      </c>
      <c r="J183" s="10">
        <f>J184</f>
        <v>0</v>
      </c>
      <c r="K183" s="10"/>
      <c r="L183" s="24">
        <f t="shared" si="30"/>
        <v>0</v>
      </c>
      <c r="M183" s="28">
        <v>0</v>
      </c>
      <c r="N183" s="28">
        <v>0</v>
      </c>
      <c r="O183" s="9">
        <f t="shared" si="29"/>
        <v>0</v>
      </c>
    </row>
    <row r="184" spans="1:15" ht="18" customHeight="1">
      <c r="A184" s="34"/>
      <c r="B184" s="35" t="s">
        <v>70</v>
      </c>
      <c r="C184" s="33" t="s">
        <v>71</v>
      </c>
      <c r="D184" s="11"/>
      <c r="E184" s="24">
        <v>2000</v>
      </c>
      <c r="F184" s="24">
        <v>0</v>
      </c>
      <c r="G184" s="24">
        <v>1173</v>
      </c>
      <c r="H184" s="24">
        <v>659</v>
      </c>
      <c r="I184" s="24">
        <v>0</v>
      </c>
      <c r="J184" s="24">
        <v>0</v>
      </c>
      <c r="K184" s="24">
        <v>876</v>
      </c>
      <c r="L184" s="24">
        <f t="shared" si="30"/>
        <v>876</v>
      </c>
      <c r="M184" s="28">
        <v>0</v>
      </c>
      <c r="N184" s="28">
        <v>0</v>
      </c>
      <c r="O184" s="9">
        <f t="shared" si="29"/>
        <v>2.9695203146715252E-05</v>
      </c>
    </row>
    <row r="185" spans="1:15" ht="16.5" customHeight="1">
      <c r="A185" s="34"/>
      <c r="B185" s="35" t="s">
        <v>86</v>
      </c>
      <c r="C185" s="33" t="s">
        <v>87</v>
      </c>
      <c r="D185" s="11"/>
      <c r="E185" s="24">
        <v>13840</v>
      </c>
      <c r="F185" s="24">
        <v>0</v>
      </c>
      <c r="G185" s="24">
        <v>9183</v>
      </c>
      <c r="H185" s="24">
        <v>6903</v>
      </c>
      <c r="I185" s="24">
        <v>0</v>
      </c>
      <c r="J185" s="24">
        <v>0</v>
      </c>
      <c r="K185" s="24">
        <v>7500</v>
      </c>
      <c r="L185" s="24">
        <f t="shared" si="30"/>
        <v>7500</v>
      </c>
      <c r="M185" s="28">
        <v>0</v>
      </c>
      <c r="N185" s="28">
        <v>0</v>
      </c>
      <c r="O185" s="9">
        <f t="shared" si="29"/>
        <v>0.0002542397529684525</v>
      </c>
    </row>
    <row r="186" spans="1:15" ht="16.5" customHeight="1">
      <c r="A186" s="34"/>
      <c r="B186" s="35" t="s">
        <v>148</v>
      </c>
      <c r="C186" s="33" t="s">
        <v>149</v>
      </c>
      <c r="D186" s="11">
        <v>62500</v>
      </c>
      <c r="E186" s="24">
        <v>160</v>
      </c>
      <c r="F186" s="24">
        <v>0</v>
      </c>
      <c r="G186" s="24">
        <v>0</v>
      </c>
      <c r="H186" s="24">
        <v>160</v>
      </c>
      <c r="I186" s="24">
        <v>0</v>
      </c>
      <c r="J186" s="24">
        <v>0</v>
      </c>
      <c r="K186" s="24">
        <v>160</v>
      </c>
      <c r="L186" s="24">
        <f t="shared" si="30"/>
        <v>160</v>
      </c>
      <c r="M186" s="28">
        <v>0</v>
      </c>
      <c r="N186" s="28">
        <v>0</v>
      </c>
      <c r="O186" s="9">
        <f t="shared" si="29"/>
        <v>5.42378139666032E-06</v>
      </c>
    </row>
    <row r="187" spans="1:15" ht="24.75" customHeight="1">
      <c r="A187" s="21" t="s">
        <v>150</v>
      </c>
      <c r="B187" s="31"/>
      <c r="C187" s="7" t="s">
        <v>151</v>
      </c>
      <c r="D187" s="10">
        <f aca="true" t="shared" si="31" ref="D187:N187">D188+D190</f>
        <v>70000</v>
      </c>
      <c r="E187" s="10">
        <f t="shared" si="31"/>
        <v>750000</v>
      </c>
      <c r="F187" s="10">
        <f t="shared" si="31"/>
        <v>0</v>
      </c>
      <c r="G187" s="10">
        <f t="shared" si="31"/>
        <v>0</v>
      </c>
      <c r="H187" s="10">
        <f>H188+H190</f>
        <v>881000</v>
      </c>
      <c r="I187" s="10">
        <f>I188+I190</f>
        <v>0</v>
      </c>
      <c r="J187" s="10">
        <f>J188+J190</f>
        <v>0</v>
      </c>
      <c r="K187" s="10">
        <f>K188+K190</f>
        <v>5700000</v>
      </c>
      <c r="L187" s="10">
        <f t="shared" si="31"/>
        <v>0</v>
      </c>
      <c r="M187" s="23">
        <f t="shared" si="31"/>
        <v>5700000</v>
      </c>
      <c r="N187" s="23">
        <f t="shared" si="31"/>
        <v>0</v>
      </c>
      <c r="O187" s="9">
        <f t="shared" si="29"/>
        <v>0.1932222122560239</v>
      </c>
    </row>
    <row r="188" spans="1:15" ht="22.5" customHeight="1">
      <c r="A188" s="21" t="s">
        <v>152</v>
      </c>
      <c r="B188" s="31"/>
      <c r="C188" s="7" t="s">
        <v>153</v>
      </c>
      <c r="D188" s="10">
        <f aca="true" t="shared" si="32" ref="D188:N188">D189</f>
        <v>2700</v>
      </c>
      <c r="E188" s="10">
        <f t="shared" si="32"/>
        <v>360000</v>
      </c>
      <c r="F188" s="10">
        <f t="shared" si="32"/>
        <v>0</v>
      </c>
      <c r="G188" s="10">
        <f t="shared" si="32"/>
        <v>0</v>
      </c>
      <c r="H188" s="10">
        <f t="shared" si="32"/>
        <v>300000</v>
      </c>
      <c r="I188" s="10">
        <f>I189</f>
        <v>0</v>
      </c>
      <c r="J188" s="10">
        <f>J189</f>
        <v>0</v>
      </c>
      <c r="K188" s="10">
        <f>K189</f>
        <v>300000</v>
      </c>
      <c r="L188" s="10">
        <f t="shared" si="32"/>
        <v>0</v>
      </c>
      <c r="M188" s="23">
        <f t="shared" si="32"/>
        <v>300000</v>
      </c>
      <c r="N188" s="23">
        <f t="shared" si="32"/>
        <v>0</v>
      </c>
      <c r="O188" s="9">
        <f t="shared" si="29"/>
        <v>0.0101695901187381</v>
      </c>
    </row>
    <row r="189" spans="1:15" ht="22.5" customHeight="1">
      <c r="A189" s="34"/>
      <c r="B189" s="35" t="s">
        <v>154</v>
      </c>
      <c r="C189" s="33" t="s">
        <v>807</v>
      </c>
      <c r="D189" s="11">
        <v>2700</v>
      </c>
      <c r="E189" s="24">
        <v>360000</v>
      </c>
      <c r="F189" s="24">
        <v>0</v>
      </c>
      <c r="G189" s="24">
        <v>0</v>
      </c>
      <c r="H189" s="24">
        <v>300000</v>
      </c>
      <c r="I189" s="24">
        <v>0</v>
      </c>
      <c r="J189" s="24">
        <v>0</v>
      </c>
      <c r="K189" s="24">
        <v>300000</v>
      </c>
      <c r="L189" s="24">
        <v>0</v>
      </c>
      <c r="M189" s="28">
        <f>K189</f>
        <v>300000</v>
      </c>
      <c r="N189" s="28">
        <v>0</v>
      </c>
      <c r="O189" s="9">
        <f t="shared" si="29"/>
        <v>0.0101695901187381</v>
      </c>
    </row>
    <row r="190" spans="1:15" ht="23.25" customHeight="1">
      <c r="A190" s="21" t="s">
        <v>155</v>
      </c>
      <c r="B190" s="31"/>
      <c r="C190" s="7" t="s">
        <v>808</v>
      </c>
      <c r="D190" s="10">
        <f aca="true" t="shared" si="33" ref="D190:L190">D192+D193</f>
        <v>67300</v>
      </c>
      <c r="E190" s="10">
        <f t="shared" si="33"/>
        <v>390000</v>
      </c>
      <c r="F190" s="10">
        <f t="shared" si="33"/>
        <v>0</v>
      </c>
      <c r="G190" s="10">
        <f t="shared" si="33"/>
        <v>0</v>
      </c>
      <c r="H190" s="10">
        <f>H192+H191</f>
        <v>581000</v>
      </c>
      <c r="I190" s="10">
        <f>I192+I191</f>
        <v>0</v>
      </c>
      <c r="J190" s="10">
        <f>J192+J191</f>
        <v>0</v>
      </c>
      <c r="K190" s="10">
        <f>K191+K192</f>
        <v>5400000</v>
      </c>
      <c r="L190" s="10">
        <f t="shared" si="33"/>
        <v>0</v>
      </c>
      <c r="M190" s="10">
        <f>M191+M192</f>
        <v>5400000</v>
      </c>
      <c r="N190" s="23">
        <f>N192</f>
        <v>0</v>
      </c>
      <c r="O190" s="9">
        <f t="shared" si="29"/>
        <v>0.1830526221372858</v>
      </c>
    </row>
    <row r="191" spans="1:15" ht="21.75" customHeight="1">
      <c r="A191" s="21"/>
      <c r="B191" s="35" t="s">
        <v>156</v>
      </c>
      <c r="C191" s="33" t="s">
        <v>688</v>
      </c>
      <c r="D191" s="24"/>
      <c r="E191" s="24"/>
      <c r="F191" s="24"/>
      <c r="G191" s="24"/>
      <c r="H191" s="24">
        <v>390000</v>
      </c>
      <c r="I191" s="24">
        <v>0</v>
      </c>
      <c r="J191" s="24">
        <v>0</v>
      </c>
      <c r="K191" s="24">
        <v>5400000</v>
      </c>
      <c r="L191" s="24">
        <v>0</v>
      </c>
      <c r="M191" s="25">
        <f>K191</f>
        <v>5400000</v>
      </c>
      <c r="N191" s="25">
        <v>0</v>
      </c>
      <c r="O191" s="9">
        <f t="shared" si="29"/>
        <v>0.1830526221372858</v>
      </c>
    </row>
    <row r="192" spans="1:15" ht="18" customHeight="1">
      <c r="A192" s="21"/>
      <c r="B192" s="35" t="s">
        <v>157</v>
      </c>
      <c r="C192" s="33" t="s">
        <v>689</v>
      </c>
      <c r="D192" s="11">
        <v>67300</v>
      </c>
      <c r="E192" s="24">
        <v>0</v>
      </c>
      <c r="F192" s="24">
        <v>0</v>
      </c>
      <c r="G192" s="24">
        <v>0</v>
      </c>
      <c r="H192" s="24">
        <v>191000</v>
      </c>
      <c r="I192" s="24">
        <v>0</v>
      </c>
      <c r="J192" s="24">
        <v>0</v>
      </c>
      <c r="K192" s="24">
        <v>0</v>
      </c>
      <c r="L192" s="24">
        <v>0</v>
      </c>
      <c r="M192" s="28">
        <f>K192</f>
        <v>0</v>
      </c>
      <c r="N192" s="28">
        <v>0</v>
      </c>
      <c r="O192" s="9">
        <f t="shared" si="29"/>
        <v>0</v>
      </c>
    </row>
    <row r="193" spans="1:15" ht="25.5" customHeight="1" hidden="1">
      <c r="A193" s="34"/>
      <c r="B193" s="35" t="s">
        <v>157</v>
      </c>
      <c r="C193" s="33" t="s">
        <v>158</v>
      </c>
      <c r="D193" s="11">
        <v>0</v>
      </c>
      <c r="E193" s="24">
        <v>390000</v>
      </c>
      <c r="F193" s="24">
        <v>0</v>
      </c>
      <c r="G193" s="24">
        <v>0</v>
      </c>
      <c r="H193" s="24"/>
      <c r="I193" s="10" t="e">
        <f>I194+I195+I196+I197+I198+I199+I200+I201+I202+I203+I204+I205</f>
        <v>#REF!</v>
      </c>
      <c r="J193" s="10" t="e">
        <f>J194+J195+J196+J197+J198+J199+J200+J201+J202+J203+J204+J205</f>
        <v>#REF!</v>
      </c>
      <c r="K193" s="10"/>
      <c r="L193" s="24"/>
      <c r="M193" s="28"/>
      <c r="N193" s="28"/>
      <c r="O193" s="9">
        <f t="shared" si="29"/>
        <v>0</v>
      </c>
    </row>
    <row r="194" spans="1:15" ht="16.5" customHeight="1">
      <c r="A194" s="21" t="s">
        <v>159</v>
      </c>
      <c r="B194" s="31"/>
      <c r="C194" s="7" t="s">
        <v>160</v>
      </c>
      <c r="D194" s="10">
        <f aca="true" t="shared" si="34" ref="D194:N194">D195</f>
        <v>0</v>
      </c>
      <c r="E194" s="10">
        <f t="shared" si="34"/>
        <v>0</v>
      </c>
      <c r="F194" s="10">
        <f t="shared" si="34"/>
        <v>0</v>
      </c>
      <c r="G194" s="10">
        <f t="shared" si="34"/>
        <v>0</v>
      </c>
      <c r="H194" s="10">
        <f t="shared" si="34"/>
        <v>0</v>
      </c>
      <c r="I194" s="10">
        <f>I195</f>
        <v>0</v>
      </c>
      <c r="J194" s="10">
        <f>J195</f>
        <v>0</v>
      </c>
      <c r="K194" s="10">
        <f>K195</f>
        <v>140000</v>
      </c>
      <c r="L194" s="10">
        <f t="shared" si="34"/>
        <v>0</v>
      </c>
      <c r="M194" s="23">
        <f t="shared" si="34"/>
        <v>140000</v>
      </c>
      <c r="N194" s="23">
        <f t="shared" si="34"/>
        <v>0</v>
      </c>
      <c r="O194" s="9">
        <f t="shared" si="29"/>
        <v>0.00474580872207778</v>
      </c>
    </row>
    <row r="195" spans="1:15" ht="15" customHeight="1">
      <c r="A195" s="21" t="s">
        <v>161</v>
      </c>
      <c r="B195" s="31"/>
      <c r="C195" s="7" t="s">
        <v>162</v>
      </c>
      <c r="D195" s="10">
        <f>D196+D197+D198</f>
        <v>0</v>
      </c>
      <c r="E195" s="10">
        <f>E196+E197+E198</f>
        <v>0</v>
      </c>
      <c r="F195" s="10">
        <f aca="true" t="shared" si="35" ref="F195:N195">F196+F197</f>
        <v>0</v>
      </c>
      <c r="G195" s="10">
        <f t="shared" si="35"/>
        <v>0</v>
      </c>
      <c r="H195" s="10">
        <f t="shared" si="35"/>
        <v>0</v>
      </c>
      <c r="I195" s="10">
        <f>I196+I197</f>
        <v>0</v>
      </c>
      <c r="J195" s="10">
        <f>J196+J197</f>
        <v>0</v>
      </c>
      <c r="K195" s="10">
        <f>K196+K197</f>
        <v>140000</v>
      </c>
      <c r="L195" s="10">
        <f t="shared" si="35"/>
        <v>0</v>
      </c>
      <c r="M195" s="23">
        <f t="shared" si="35"/>
        <v>140000</v>
      </c>
      <c r="N195" s="23">
        <f t="shared" si="35"/>
        <v>0</v>
      </c>
      <c r="O195" s="9">
        <f t="shared" si="29"/>
        <v>0.00474580872207778</v>
      </c>
    </row>
    <row r="196" spans="1:15" ht="14.25" customHeight="1">
      <c r="A196" s="34"/>
      <c r="B196" s="35" t="s">
        <v>163</v>
      </c>
      <c r="C196" s="33" t="s">
        <v>164</v>
      </c>
      <c r="D196" s="11">
        <v>0</v>
      </c>
      <c r="E196" s="24">
        <v>0</v>
      </c>
      <c r="F196" s="24">
        <v>0</v>
      </c>
      <c r="G196" s="24">
        <v>0</v>
      </c>
      <c r="H196" s="24">
        <v>0</v>
      </c>
      <c r="I196" s="11">
        <v>0</v>
      </c>
      <c r="J196" s="11">
        <v>0</v>
      </c>
      <c r="K196" s="11">
        <v>40000</v>
      </c>
      <c r="L196" s="24">
        <v>0</v>
      </c>
      <c r="M196" s="28">
        <f>K196</f>
        <v>40000</v>
      </c>
      <c r="N196" s="28">
        <v>0</v>
      </c>
      <c r="O196" s="9">
        <f t="shared" si="29"/>
        <v>0.00135594534916508</v>
      </c>
    </row>
    <row r="197" spans="1:15" ht="16.5" customHeight="1">
      <c r="A197" s="34"/>
      <c r="B197" s="35" t="s">
        <v>163</v>
      </c>
      <c r="C197" s="33" t="s">
        <v>165</v>
      </c>
      <c r="D197" s="11">
        <v>0</v>
      </c>
      <c r="E197" s="24">
        <v>0</v>
      </c>
      <c r="F197" s="24">
        <v>0</v>
      </c>
      <c r="G197" s="24">
        <v>0</v>
      </c>
      <c r="H197" s="24">
        <v>0</v>
      </c>
      <c r="I197" s="11">
        <v>0</v>
      </c>
      <c r="J197" s="11">
        <v>0</v>
      </c>
      <c r="K197" s="11">
        <v>100000</v>
      </c>
      <c r="L197" s="24">
        <v>0</v>
      </c>
      <c r="M197" s="28">
        <f>K197</f>
        <v>100000</v>
      </c>
      <c r="N197" s="28">
        <v>0</v>
      </c>
      <c r="O197" s="9">
        <f t="shared" si="29"/>
        <v>0.0033898633729127</v>
      </c>
    </row>
    <row r="198" spans="1:15" ht="19.5" customHeight="1" hidden="1">
      <c r="A198" s="34"/>
      <c r="B198" s="35" t="s">
        <v>166</v>
      </c>
      <c r="C198" s="33" t="s">
        <v>167</v>
      </c>
      <c r="D198" s="11">
        <v>0</v>
      </c>
      <c r="E198" s="24"/>
      <c r="F198" s="24"/>
      <c r="G198" s="24"/>
      <c r="H198" s="24"/>
      <c r="I198" s="11">
        <v>0</v>
      </c>
      <c r="J198" s="11">
        <v>0</v>
      </c>
      <c r="K198" s="11"/>
      <c r="L198" s="24"/>
      <c r="M198" s="28"/>
      <c r="N198" s="28"/>
      <c r="O198" s="9">
        <f t="shared" si="29"/>
        <v>0</v>
      </c>
    </row>
    <row r="199" spans="1:15" ht="16.5" customHeight="1">
      <c r="A199" s="21" t="s">
        <v>168</v>
      </c>
      <c r="B199" s="31"/>
      <c r="C199" s="7" t="s">
        <v>169</v>
      </c>
      <c r="D199" s="10" t="e">
        <f>D200+D216+D225+D305+D256+D284+D318+D339</f>
        <v>#REF!</v>
      </c>
      <c r="E199" s="10" t="e">
        <f>E200+E216+E225+E305+E256+E284+E318+E339+E325+E333+E327+#REF!</f>
        <v>#REF!</v>
      </c>
      <c r="F199" s="10" t="e">
        <f>F200+F216+F225+F256+F284+F305+F318+F325+F327+F333+F339+#REF!</f>
        <v>#REF!</v>
      </c>
      <c r="G199" s="10" t="e">
        <f>G200+G216+G225+G256+G284+G305+G318+G325+G327+G333+G339+#REF!</f>
        <v>#REF!</v>
      </c>
      <c r="H199" s="10" t="e">
        <f>H200+H216+H225+H256+H305+H318+H325+H327+H333+H339+#REF!</f>
        <v>#REF!</v>
      </c>
      <c r="I199" s="10" t="e">
        <f>I200+I216+I225+I256+I305+I318+I325+I327+I333+I339+#REF!</f>
        <v>#REF!</v>
      </c>
      <c r="J199" s="10" t="e">
        <f>J200+J216+J225+J256+J305+J318+J325+J327+J333+J339+#REF!</f>
        <v>#REF!</v>
      </c>
      <c r="K199" s="10">
        <f>K200+K214+K216+K225+K246+K256+K318+K327+K333+K339</f>
        <v>10077109</v>
      </c>
      <c r="L199" s="10">
        <f>L200+L214+L216+L225+L246+L256+L318+L327+L333+L339</f>
        <v>0</v>
      </c>
      <c r="M199" s="10">
        <f>M200+M214+M216+M225+M246+M256+M318+M327+M333+M339</f>
        <v>10065109</v>
      </c>
      <c r="N199" s="10">
        <f>N200+N214+N216+N225+N246+N256+N318+N327+N333+N339</f>
        <v>12000</v>
      </c>
      <c r="O199" s="13">
        <f t="shared" si="29"/>
        <v>0.3416002270394893</v>
      </c>
    </row>
    <row r="200" spans="1:15" ht="16.5" customHeight="1">
      <c r="A200" s="21" t="s">
        <v>170</v>
      </c>
      <c r="B200" s="31"/>
      <c r="C200" s="7" t="s">
        <v>171</v>
      </c>
      <c r="D200" s="10">
        <f>D201+D202+D203+D212</f>
        <v>1274233</v>
      </c>
      <c r="E200" s="10" t="e">
        <f>E201+E202+E203+E204+E205+E207+#REF!+E208+#REF!+E209+E210+E211</f>
        <v>#REF!</v>
      </c>
      <c r="F200" s="10" t="e">
        <f>F201+F202+F203+F204+F205+F207+#REF!+F208+#REF!+F209+F210+F211</f>
        <v>#REF!</v>
      </c>
      <c r="G200" s="10" t="e">
        <f>G201+G202+G203+G204+G205+G207+#REF!+G208+#REF!+G209+G210+G211</f>
        <v>#REF!</v>
      </c>
      <c r="H200" s="10" t="e">
        <f>H201+H202+H203+H204+H205+H207+#REF!+H208+#REF!+H209+H210+H211+H213</f>
        <v>#REF!</v>
      </c>
      <c r="I200" s="10" t="e">
        <f>I201+I202+I203+I204+I207+#REF!+I208+#REF!+I209+I210+I211+I213</f>
        <v>#REF!</v>
      </c>
      <c r="J200" s="10" t="e">
        <f>J201+J202+J203+J204+J207+#REF!+J208+#REF!+J209+J210+J211+J213</f>
        <v>#REF!</v>
      </c>
      <c r="K200" s="10">
        <f>K201+K202+K203+K204+K207+K208+K209+K210+K211+K213+K206</f>
        <v>709839</v>
      </c>
      <c r="L200" s="10">
        <f>L201+L202+L203+L204+L207+L208+L209+L210+L211+L213+L206</f>
        <v>0</v>
      </c>
      <c r="M200" s="10">
        <f>M201+M202+M203+M204+M207+M208+M209+M210+M211+M213+M206</f>
        <v>709839</v>
      </c>
      <c r="N200" s="10">
        <f>N201+N202+N203+N204+N207+N208+N209+N210+N211+N213+N206</f>
        <v>0</v>
      </c>
      <c r="O200" s="9">
        <f t="shared" si="29"/>
        <v>0.02406257226764978</v>
      </c>
    </row>
    <row r="201" spans="1:15" ht="25.5" customHeight="1">
      <c r="A201" s="21"/>
      <c r="B201" s="22" t="s">
        <v>48</v>
      </c>
      <c r="C201" s="14" t="s">
        <v>49</v>
      </c>
      <c r="D201" s="11">
        <v>866965</v>
      </c>
      <c r="E201" s="11">
        <v>823342</v>
      </c>
      <c r="F201" s="11">
        <v>45000</v>
      </c>
      <c r="G201" s="11">
        <v>24814</v>
      </c>
      <c r="H201" s="11">
        <v>541068</v>
      </c>
      <c r="I201" s="11">
        <v>0</v>
      </c>
      <c r="J201" s="11">
        <v>0</v>
      </c>
      <c r="K201" s="11">
        <v>348200</v>
      </c>
      <c r="L201" s="11">
        <v>0</v>
      </c>
      <c r="M201" s="28">
        <f>K201</f>
        <v>348200</v>
      </c>
      <c r="N201" s="28">
        <v>0</v>
      </c>
      <c r="O201" s="9">
        <f t="shared" si="29"/>
        <v>0.011803504264482022</v>
      </c>
    </row>
    <row r="202" spans="1:15" ht="15.75" customHeight="1">
      <c r="A202" s="21"/>
      <c r="B202" s="22" t="s">
        <v>52</v>
      </c>
      <c r="C202" s="14" t="s">
        <v>53</v>
      </c>
      <c r="D202" s="11">
        <v>75166</v>
      </c>
      <c r="E202" s="11">
        <v>81513</v>
      </c>
      <c r="F202" s="11">
        <v>0</v>
      </c>
      <c r="G202" s="11">
        <v>0</v>
      </c>
      <c r="H202" s="11">
        <v>45244</v>
      </c>
      <c r="I202" s="11">
        <v>0</v>
      </c>
      <c r="J202" s="11">
        <v>0</v>
      </c>
      <c r="K202" s="11">
        <v>46078</v>
      </c>
      <c r="L202" s="11">
        <v>0</v>
      </c>
      <c r="M202" s="28">
        <f aca="true" t="shared" si="36" ref="M202:M211">K202</f>
        <v>46078</v>
      </c>
      <c r="N202" s="28">
        <v>0</v>
      </c>
      <c r="O202" s="9">
        <f t="shared" si="29"/>
        <v>0.001561981244970714</v>
      </c>
    </row>
    <row r="203" spans="1:15" ht="15" customHeight="1">
      <c r="A203" s="21"/>
      <c r="B203" s="29" t="s">
        <v>106</v>
      </c>
      <c r="C203" s="14" t="s">
        <v>83</v>
      </c>
      <c r="D203" s="11">
        <v>205528</v>
      </c>
      <c r="E203" s="11">
        <v>158209</v>
      </c>
      <c r="F203" s="11">
        <v>8046</v>
      </c>
      <c r="G203" s="11">
        <v>4948</v>
      </c>
      <c r="H203" s="11">
        <v>99236</v>
      </c>
      <c r="I203" s="11">
        <v>0</v>
      </c>
      <c r="J203" s="11">
        <v>0</v>
      </c>
      <c r="K203" s="11">
        <v>70500</v>
      </c>
      <c r="L203" s="11">
        <v>0</v>
      </c>
      <c r="M203" s="28">
        <f t="shared" si="36"/>
        <v>70500</v>
      </c>
      <c r="N203" s="28">
        <v>0</v>
      </c>
      <c r="O203" s="9">
        <f t="shared" si="29"/>
        <v>0.0023898536779034534</v>
      </c>
    </row>
    <row r="204" spans="1:15" ht="15" customHeight="1">
      <c r="A204" s="21"/>
      <c r="B204" s="29" t="s">
        <v>56</v>
      </c>
      <c r="C204" s="14" t="s">
        <v>57</v>
      </c>
      <c r="D204" s="11"/>
      <c r="E204" s="11">
        <v>21676</v>
      </c>
      <c r="F204" s="11">
        <v>1102</v>
      </c>
      <c r="G204" s="11">
        <v>680</v>
      </c>
      <c r="H204" s="11">
        <v>13647</v>
      </c>
      <c r="I204" s="11">
        <v>0</v>
      </c>
      <c r="J204" s="11">
        <v>0</v>
      </c>
      <c r="K204" s="11">
        <v>9660</v>
      </c>
      <c r="L204" s="11">
        <v>0</v>
      </c>
      <c r="M204" s="28">
        <f t="shared" si="36"/>
        <v>9660</v>
      </c>
      <c r="N204" s="28">
        <v>0</v>
      </c>
      <c r="O204" s="9">
        <f t="shared" si="29"/>
        <v>0.00032746080182336683</v>
      </c>
    </row>
    <row r="205" spans="1:15" ht="23.25" customHeight="1" hidden="1">
      <c r="A205" s="21"/>
      <c r="B205" s="29"/>
      <c r="C205" s="14" t="s">
        <v>97</v>
      </c>
      <c r="D205" s="11"/>
      <c r="E205" s="11">
        <v>1974</v>
      </c>
      <c r="F205" s="11">
        <v>0</v>
      </c>
      <c r="G205" s="11">
        <v>0</v>
      </c>
      <c r="H205" s="11">
        <v>0</v>
      </c>
      <c r="I205" s="11">
        <v>0</v>
      </c>
      <c r="J205" s="11">
        <v>0</v>
      </c>
      <c r="K205" s="11"/>
      <c r="L205" s="11"/>
      <c r="M205" s="28">
        <f t="shared" si="36"/>
        <v>0</v>
      </c>
      <c r="N205" s="28">
        <v>0</v>
      </c>
      <c r="O205" s="9">
        <f t="shared" si="29"/>
        <v>0</v>
      </c>
    </row>
    <row r="206" spans="1:15" ht="18.75" customHeight="1">
      <c r="A206" s="21"/>
      <c r="B206" s="29" t="s">
        <v>44</v>
      </c>
      <c r="C206" s="11" t="s">
        <v>183</v>
      </c>
      <c r="D206" s="11"/>
      <c r="E206" s="11"/>
      <c r="F206" s="11"/>
      <c r="G206" s="11"/>
      <c r="H206" s="11"/>
      <c r="I206" s="11"/>
      <c r="J206" s="11"/>
      <c r="K206" s="11">
        <v>3000</v>
      </c>
      <c r="L206" s="11">
        <v>0</v>
      </c>
      <c r="M206" s="28">
        <f>K206</f>
        <v>3000</v>
      </c>
      <c r="N206" s="28">
        <v>0</v>
      </c>
      <c r="O206" s="9">
        <f t="shared" si="29"/>
        <v>0.00010169590118738101</v>
      </c>
    </row>
    <row r="207" spans="1:15" ht="16.5" customHeight="1">
      <c r="A207" s="21"/>
      <c r="B207" s="29" t="s">
        <v>58</v>
      </c>
      <c r="C207" s="14" t="s">
        <v>172</v>
      </c>
      <c r="D207" s="11"/>
      <c r="E207" s="11">
        <v>35892</v>
      </c>
      <c r="F207" s="11">
        <v>2000</v>
      </c>
      <c r="G207" s="11">
        <v>0</v>
      </c>
      <c r="H207" s="11">
        <v>24850</v>
      </c>
      <c r="I207" s="11">
        <v>0</v>
      </c>
      <c r="J207" s="11">
        <v>0</v>
      </c>
      <c r="K207" s="11">
        <v>22000</v>
      </c>
      <c r="L207" s="11">
        <v>0</v>
      </c>
      <c r="M207" s="28">
        <f t="shared" si="36"/>
        <v>22000</v>
      </c>
      <c r="N207" s="28">
        <v>0</v>
      </c>
      <c r="O207" s="9">
        <f t="shared" si="29"/>
        <v>0.000745769942040794</v>
      </c>
    </row>
    <row r="208" spans="1:15" ht="16.5" customHeight="1">
      <c r="A208" s="21"/>
      <c r="B208" s="29" t="s">
        <v>60</v>
      </c>
      <c r="C208" s="14" t="s">
        <v>142</v>
      </c>
      <c r="D208" s="11"/>
      <c r="E208" s="11">
        <v>12822</v>
      </c>
      <c r="F208" s="11">
        <v>0</v>
      </c>
      <c r="G208" s="11">
        <v>0</v>
      </c>
      <c r="H208" s="11">
        <v>8400</v>
      </c>
      <c r="I208" s="11">
        <v>0</v>
      </c>
      <c r="J208" s="11">
        <v>0</v>
      </c>
      <c r="K208" s="11">
        <v>8850</v>
      </c>
      <c r="L208" s="11">
        <v>0</v>
      </c>
      <c r="M208" s="28">
        <f t="shared" si="36"/>
        <v>8850</v>
      </c>
      <c r="N208" s="28">
        <v>0</v>
      </c>
      <c r="O208" s="9">
        <f t="shared" si="29"/>
        <v>0.00030000290850277394</v>
      </c>
    </row>
    <row r="209" spans="1:15" ht="16.5" customHeight="1">
      <c r="A209" s="21"/>
      <c r="B209" s="29" t="s">
        <v>64</v>
      </c>
      <c r="C209" s="14" t="s">
        <v>144</v>
      </c>
      <c r="D209" s="11"/>
      <c r="E209" s="11">
        <v>9517</v>
      </c>
      <c r="F209" s="11">
        <v>0</v>
      </c>
      <c r="G209" s="11">
        <v>0</v>
      </c>
      <c r="H209" s="11">
        <v>2000</v>
      </c>
      <c r="I209" s="11">
        <v>0</v>
      </c>
      <c r="J209" s="11">
        <v>0</v>
      </c>
      <c r="K209" s="11">
        <v>2000</v>
      </c>
      <c r="L209" s="11">
        <v>0</v>
      </c>
      <c r="M209" s="28">
        <f t="shared" si="36"/>
        <v>2000</v>
      </c>
      <c r="N209" s="28">
        <v>0</v>
      </c>
      <c r="O209" s="9">
        <f t="shared" si="29"/>
        <v>6.7797267458254E-05</v>
      </c>
    </row>
    <row r="210" spans="1:15" ht="15" customHeight="1">
      <c r="A210" s="21"/>
      <c r="B210" s="29" t="s">
        <v>66</v>
      </c>
      <c r="C210" s="14" t="s">
        <v>67</v>
      </c>
      <c r="D210" s="11"/>
      <c r="E210" s="11">
        <v>229</v>
      </c>
      <c r="F210" s="11">
        <v>800</v>
      </c>
      <c r="G210" s="11">
        <v>0</v>
      </c>
      <c r="H210" s="11">
        <v>0</v>
      </c>
      <c r="I210" s="11">
        <v>0</v>
      </c>
      <c r="J210" s="11">
        <v>0</v>
      </c>
      <c r="K210" s="11">
        <v>600</v>
      </c>
      <c r="L210" s="11">
        <v>0</v>
      </c>
      <c r="M210" s="28">
        <f t="shared" si="36"/>
        <v>600</v>
      </c>
      <c r="N210" s="28">
        <v>0</v>
      </c>
      <c r="O210" s="9">
        <f t="shared" si="29"/>
        <v>2.0339180237476202E-05</v>
      </c>
    </row>
    <row r="211" spans="1:15" ht="17.25" customHeight="1">
      <c r="A211" s="21"/>
      <c r="B211" s="29" t="s">
        <v>70</v>
      </c>
      <c r="C211" s="14" t="s">
        <v>71</v>
      </c>
      <c r="D211" s="11"/>
      <c r="E211" s="11">
        <v>60464</v>
      </c>
      <c r="F211" s="11">
        <v>0</v>
      </c>
      <c r="G211" s="11">
        <v>0</v>
      </c>
      <c r="H211" s="11">
        <v>20400</v>
      </c>
      <c r="I211" s="11">
        <v>0</v>
      </c>
      <c r="J211" s="11">
        <v>0</v>
      </c>
      <c r="K211" s="11">
        <v>17534</v>
      </c>
      <c r="L211" s="11">
        <v>0</v>
      </c>
      <c r="M211" s="28">
        <f t="shared" si="36"/>
        <v>17534</v>
      </c>
      <c r="N211" s="28">
        <v>0</v>
      </c>
      <c r="O211" s="9">
        <f t="shared" si="29"/>
        <v>0.0005943786438065129</v>
      </c>
    </row>
    <row r="212" spans="1:15" ht="18.75" customHeight="1" hidden="1">
      <c r="A212" s="21"/>
      <c r="B212" s="22"/>
      <c r="C212" s="11" t="s">
        <v>175</v>
      </c>
      <c r="D212" s="11">
        <v>126574</v>
      </c>
      <c r="E212" s="11"/>
      <c r="F212" s="11"/>
      <c r="G212" s="11"/>
      <c r="H212" s="11"/>
      <c r="I212" s="11">
        <v>0</v>
      </c>
      <c r="J212" s="11">
        <v>0</v>
      </c>
      <c r="K212" s="11"/>
      <c r="L212" s="11"/>
      <c r="M212" s="28"/>
      <c r="N212" s="28">
        <v>0</v>
      </c>
      <c r="O212" s="9">
        <f t="shared" si="29"/>
        <v>0</v>
      </c>
    </row>
    <row r="213" spans="1:15" ht="39" customHeight="1">
      <c r="A213" s="21"/>
      <c r="B213" s="22" t="s">
        <v>176</v>
      </c>
      <c r="C213" s="14" t="s">
        <v>809</v>
      </c>
      <c r="D213" s="11"/>
      <c r="E213" s="11"/>
      <c r="F213" s="11"/>
      <c r="G213" s="11"/>
      <c r="H213" s="11">
        <v>118854</v>
      </c>
      <c r="I213" s="11">
        <v>0</v>
      </c>
      <c r="J213" s="11">
        <v>0</v>
      </c>
      <c r="K213" s="11">
        <v>181417</v>
      </c>
      <c r="L213" s="11">
        <v>0</v>
      </c>
      <c r="M213" s="28">
        <f>K213</f>
        <v>181417</v>
      </c>
      <c r="N213" s="28">
        <v>0</v>
      </c>
      <c r="O213" s="9">
        <f t="shared" si="29"/>
        <v>0.006149788435237033</v>
      </c>
    </row>
    <row r="214" spans="1:15" ht="27.75" customHeight="1">
      <c r="A214" s="21" t="s">
        <v>792</v>
      </c>
      <c r="B214" s="31"/>
      <c r="C214" s="7" t="s">
        <v>793</v>
      </c>
      <c r="D214" s="10"/>
      <c r="E214" s="10"/>
      <c r="F214" s="10"/>
      <c r="G214" s="10"/>
      <c r="H214" s="10"/>
      <c r="I214" s="10"/>
      <c r="J214" s="10"/>
      <c r="K214" s="10">
        <f>K215</f>
        <v>65981</v>
      </c>
      <c r="L214" s="10">
        <f>L215</f>
        <v>0</v>
      </c>
      <c r="M214" s="10">
        <f>M215</f>
        <v>65981</v>
      </c>
      <c r="N214" s="10">
        <f>N215</f>
        <v>0</v>
      </c>
      <c r="O214" s="13">
        <f t="shared" si="29"/>
        <v>0.0022366657520815287</v>
      </c>
    </row>
    <row r="215" spans="1:15" ht="36.75" customHeight="1">
      <c r="A215" s="21"/>
      <c r="B215" s="22" t="s">
        <v>176</v>
      </c>
      <c r="C215" s="14" t="s">
        <v>809</v>
      </c>
      <c r="D215" s="11"/>
      <c r="E215" s="11"/>
      <c r="F215" s="11"/>
      <c r="G215" s="11"/>
      <c r="H215" s="11"/>
      <c r="I215" s="11"/>
      <c r="J215" s="11"/>
      <c r="K215" s="11">
        <v>65981</v>
      </c>
      <c r="L215" s="11">
        <v>0</v>
      </c>
      <c r="M215" s="28">
        <f>K215</f>
        <v>65981</v>
      </c>
      <c r="N215" s="28">
        <v>0</v>
      </c>
      <c r="O215" s="9">
        <f t="shared" si="29"/>
        <v>0.0022366657520815287</v>
      </c>
    </row>
    <row r="216" spans="1:15" ht="18.75" customHeight="1">
      <c r="A216" s="21" t="s">
        <v>178</v>
      </c>
      <c r="B216" s="31"/>
      <c r="C216" s="7" t="s">
        <v>179</v>
      </c>
      <c r="D216" s="10">
        <f>D217+D218+D219+D221</f>
        <v>276119</v>
      </c>
      <c r="E216" s="10" t="e">
        <f>E217+E218+E219+E220+E221+E222+#REF!+#REF!+E223</f>
        <v>#REF!</v>
      </c>
      <c r="F216" s="10" t="e">
        <f>F217+F218+F219+F220+F221+F222+#REF!+#REF!+F223</f>
        <v>#REF!</v>
      </c>
      <c r="G216" s="10" t="e">
        <f>G217+G218+G219+G220+G221+G222+#REF!+#REF!+G223</f>
        <v>#REF!</v>
      </c>
      <c r="H216" s="10" t="e">
        <f>H217+H218+H219+H220+H221+H222+#REF!+#REF!+H223+H224</f>
        <v>#REF!</v>
      </c>
      <c r="I216" s="10" t="e">
        <f>I217+I218+I219+I220+I222+#REF!+#REF!+I223+I224</f>
        <v>#REF!</v>
      </c>
      <c r="J216" s="10" t="e">
        <f>J217+J218+J219+J220+J222+#REF!+#REF!+J223+J224</f>
        <v>#REF!</v>
      </c>
      <c r="K216" s="10">
        <f>K217+K218+K219+K220+K222+K223+K224</f>
        <v>413306</v>
      </c>
      <c r="L216" s="10">
        <f>L217+L218+L219+L220+L222+L223+L224</f>
        <v>0</v>
      </c>
      <c r="M216" s="10">
        <f>M217+M218+M219+M220+M222+M223+M224</f>
        <v>413306</v>
      </c>
      <c r="N216" s="23">
        <f>N217+N218+N219+N220+N221+N224</f>
        <v>0</v>
      </c>
      <c r="O216" s="9">
        <f aca="true" t="shared" si="37" ref="O216:O247">K216/$K$549</f>
        <v>0.014010508712050564</v>
      </c>
    </row>
    <row r="217" spans="1:15" ht="24.75" customHeight="1">
      <c r="A217" s="21"/>
      <c r="B217" s="22" t="s">
        <v>48</v>
      </c>
      <c r="C217" s="14" t="s">
        <v>49</v>
      </c>
      <c r="D217" s="11">
        <v>212518</v>
      </c>
      <c r="E217" s="11">
        <v>225071</v>
      </c>
      <c r="F217" s="11">
        <v>24814</v>
      </c>
      <c r="G217" s="11">
        <v>0</v>
      </c>
      <c r="H217" s="11">
        <v>116349</v>
      </c>
      <c r="I217" s="11">
        <v>0</v>
      </c>
      <c r="J217" s="11">
        <v>0</v>
      </c>
      <c r="K217" s="11">
        <v>277200</v>
      </c>
      <c r="L217" s="11">
        <v>0</v>
      </c>
      <c r="M217" s="28">
        <f>K217</f>
        <v>277200</v>
      </c>
      <c r="N217" s="28">
        <v>0</v>
      </c>
      <c r="O217" s="9">
        <f t="shared" si="37"/>
        <v>0.009396701269714005</v>
      </c>
    </row>
    <row r="218" spans="1:15" ht="17.25" customHeight="1">
      <c r="A218" s="21"/>
      <c r="B218" s="22" t="s">
        <v>52</v>
      </c>
      <c r="C218" s="14" t="s">
        <v>53</v>
      </c>
      <c r="D218" s="11">
        <v>4145</v>
      </c>
      <c r="E218" s="11">
        <v>6923</v>
      </c>
      <c r="F218" s="11">
        <v>0</v>
      </c>
      <c r="G218" s="11">
        <v>0</v>
      </c>
      <c r="H218" s="11">
        <v>8679</v>
      </c>
      <c r="I218" s="24">
        <v>0</v>
      </c>
      <c r="J218" s="24">
        <v>0</v>
      </c>
      <c r="K218" s="24">
        <v>9977</v>
      </c>
      <c r="L218" s="11">
        <v>0</v>
      </c>
      <c r="M218" s="28">
        <f aca="true" t="shared" si="38" ref="M218:M223">K218</f>
        <v>9977</v>
      </c>
      <c r="N218" s="28">
        <v>0</v>
      </c>
      <c r="O218" s="9">
        <f t="shared" si="37"/>
        <v>0.0003382066687155001</v>
      </c>
    </row>
    <row r="219" spans="1:15" ht="15.75" customHeight="1">
      <c r="A219" s="21"/>
      <c r="B219" s="29" t="s">
        <v>106</v>
      </c>
      <c r="C219" s="14" t="s">
        <v>83</v>
      </c>
      <c r="D219" s="11">
        <v>44040</v>
      </c>
      <c r="E219" s="11">
        <v>40253</v>
      </c>
      <c r="F219" s="11">
        <v>4948</v>
      </c>
      <c r="G219" s="11">
        <v>0</v>
      </c>
      <c r="H219" s="11">
        <v>21739</v>
      </c>
      <c r="I219" s="11">
        <v>0</v>
      </c>
      <c r="J219" s="11">
        <v>0</v>
      </c>
      <c r="K219" s="11">
        <v>51300</v>
      </c>
      <c r="L219" s="11">
        <v>0</v>
      </c>
      <c r="M219" s="28">
        <f t="shared" si="38"/>
        <v>51300</v>
      </c>
      <c r="N219" s="28">
        <v>0</v>
      </c>
      <c r="O219" s="9">
        <f t="shared" si="37"/>
        <v>0.0017389999103042152</v>
      </c>
    </row>
    <row r="220" spans="1:15" ht="18.75" customHeight="1">
      <c r="A220" s="21"/>
      <c r="B220" s="29" t="s">
        <v>56</v>
      </c>
      <c r="C220" s="14" t="s">
        <v>57</v>
      </c>
      <c r="D220" s="11"/>
      <c r="E220" s="11">
        <v>5538</v>
      </c>
      <c r="F220" s="11">
        <v>680</v>
      </c>
      <c r="G220" s="11">
        <v>0</v>
      </c>
      <c r="H220" s="11">
        <v>2998</v>
      </c>
      <c r="I220" s="11">
        <v>0</v>
      </c>
      <c r="J220" s="11">
        <v>0</v>
      </c>
      <c r="K220" s="11">
        <v>7030</v>
      </c>
      <c r="L220" s="11">
        <v>0</v>
      </c>
      <c r="M220" s="28">
        <f t="shared" si="38"/>
        <v>7030</v>
      </c>
      <c r="N220" s="28">
        <v>0</v>
      </c>
      <c r="O220" s="9">
        <f t="shared" si="37"/>
        <v>0.00023830739511576283</v>
      </c>
    </row>
    <row r="221" spans="1:15" ht="15" customHeight="1" hidden="1">
      <c r="A221" s="21"/>
      <c r="B221" s="22"/>
      <c r="C221" s="11" t="s">
        <v>97</v>
      </c>
      <c r="D221" s="11">
        <v>15416</v>
      </c>
      <c r="E221" s="11">
        <v>353</v>
      </c>
      <c r="F221" s="11">
        <v>0</v>
      </c>
      <c r="G221" s="11">
        <v>0</v>
      </c>
      <c r="H221" s="11">
        <v>0</v>
      </c>
      <c r="I221" s="11">
        <v>0</v>
      </c>
      <c r="J221" s="11">
        <v>2420</v>
      </c>
      <c r="K221" s="11"/>
      <c r="L221" s="11">
        <v>0</v>
      </c>
      <c r="M221" s="28">
        <f t="shared" si="38"/>
        <v>0</v>
      </c>
      <c r="N221" s="28">
        <v>0</v>
      </c>
      <c r="O221" s="9">
        <f t="shared" si="37"/>
        <v>0</v>
      </c>
    </row>
    <row r="222" spans="1:15" ht="14.25" customHeight="1">
      <c r="A222" s="21"/>
      <c r="B222" s="22" t="s">
        <v>58</v>
      </c>
      <c r="C222" s="11" t="s">
        <v>180</v>
      </c>
      <c r="D222" s="11"/>
      <c r="E222" s="11">
        <v>1700</v>
      </c>
      <c r="F222" s="11">
        <v>0</v>
      </c>
      <c r="G222" s="11">
        <v>0</v>
      </c>
      <c r="H222" s="11">
        <v>0</v>
      </c>
      <c r="I222" s="11">
        <v>0</v>
      </c>
      <c r="J222" s="11">
        <v>0</v>
      </c>
      <c r="K222" s="11">
        <v>2000</v>
      </c>
      <c r="L222" s="11">
        <v>0</v>
      </c>
      <c r="M222" s="28">
        <f t="shared" si="38"/>
        <v>2000</v>
      </c>
      <c r="N222" s="28">
        <v>0</v>
      </c>
      <c r="O222" s="9">
        <f t="shared" si="37"/>
        <v>6.7797267458254E-05</v>
      </c>
    </row>
    <row r="223" spans="1:15" ht="18.75" customHeight="1">
      <c r="A223" s="21"/>
      <c r="B223" s="22" t="s">
        <v>70</v>
      </c>
      <c r="C223" s="11" t="s">
        <v>71</v>
      </c>
      <c r="D223" s="11"/>
      <c r="E223" s="11">
        <v>15689</v>
      </c>
      <c r="F223" s="11">
        <v>0</v>
      </c>
      <c r="G223" s="11">
        <v>0</v>
      </c>
      <c r="H223" s="11">
        <v>7240</v>
      </c>
      <c r="I223" s="24">
        <v>0</v>
      </c>
      <c r="J223" s="24">
        <v>0</v>
      </c>
      <c r="K223" s="24">
        <v>14740</v>
      </c>
      <c r="L223" s="11">
        <v>0</v>
      </c>
      <c r="M223" s="28">
        <f t="shared" si="38"/>
        <v>14740</v>
      </c>
      <c r="N223" s="28">
        <v>0</v>
      </c>
      <c r="O223" s="9">
        <f t="shared" si="37"/>
        <v>0.000499665861167332</v>
      </c>
    </row>
    <row r="224" spans="1:15" ht="42.75" customHeight="1">
      <c r="A224" s="21"/>
      <c r="B224" s="22" t="s">
        <v>176</v>
      </c>
      <c r="C224" s="14" t="s">
        <v>809</v>
      </c>
      <c r="D224" s="11"/>
      <c r="E224" s="11"/>
      <c r="F224" s="11"/>
      <c r="G224" s="11"/>
      <c r="H224" s="11">
        <v>42448</v>
      </c>
      <c r="I224" s="11">
        <v>0</v>
      </c>
      <c r="J224" s="11">
        <v>0</v>
      </c>
      <c r="K224" s="11">
        <v>51059</v>
      </c>
      <c r="L224" s="11">
        <v>0</v>
      </c>
      <c r="M224" s="28">
        <f>K224</f>
        <v>51059</v>
      </c>
      <c r="N224" s="28">
        <v>0</v>
      </c>
      <c r="O224" s="9">
        <f t="shared" si="37"/>
        <v>0.0017308303395754956</v>
      </c>
    </row>
    <row r="225" spans="1:15" ht="12.75" customHeight="1">
      <c r="A225" s="21" t="s">
        <v>181</v>
      </c>
      <c r="B225" s="22"/>
      <c r="C225" s="10" t="s">
        <v>182</v>
      </c>
      <c r="D225" s="10" t="e">
        <f>D226+D227+D228+D230+D233+#REF!</f>
        <v>#REF!</v>
      </c>
      <c r="E225" s="10" t="e">
        <f>E226+E227+E228+E229+E230+E232+E233+E235+E236+E237+E238+E239+E240+E241+E242+#REF!</f>
        <v>#REF!</v>
      </c>
      <c r="F225" s="10" t="e">
        <f>F226+F227+F228+F229+F230+F232+F233+F235+F236+F237+F238+F239+F240+F241+F242+#REF!</f>
        <v>#REF!</v>
      </c>
      <c r="G225" s="10" t="e">
        <f>G226+G227+G228+G229+G230+G232+G233+G235+G236+G237+G238+G239+G240+G241+G242+#REF!</f>
        <v>#REF!</v>
      </c>
      <c r="H225" s="10" t="e">
        <f>H226+H227+H228+H229+H230+H232+H233+H235+H236+H237+H238+H239+H240+H241+H242+#REF!+H231</f>
        <v>#REF!</v>
      </c>
      <c r="I225" s="10" t="e">
        <f>I226+I227+I228+I229+I231+I232+I233+I235+I236+I237+I238+I239+I240+I241+I242+#REF!</f>
        <v>#REF!</v>
      </c>
      <c r="J225" s="10" t="e">
        <f>J226+J227+J228+J229+J231+J232+J233+J235+J236+J237+J238+J239+J240+J241+J242+#REF!</f>
        <v>#REF!</v>
      </c>
      <c r="K225" s="10">
        <f>K226+K227+K228+K229+K231+K232+K233+K234+K235+K236+K237+K238+K239+K240+K241+K242</f>
        <v>1976853</v>
      </c>
      <c r="L225" s="10">
        <f>L226+L227+L228+L229+L231+L232+L233+L234+L235+L236+L237+L238+L239+L240+L241+L242</f>
        <v>0</v>
      </c>
      <c r="M225" s="10">
        <f>M226+M227+M228+M229+M231+M232+M233+M234+M235+M236+M237+M238+M239+M240+M241+M242</f>
        <v>1976853</v>
      </c>
      <c r="N225" s="10">
        <f>N226+N227+N228+N229+N231+N232+N233+N234+N235+N236+N237+N238+N239+N240+N241+N242</f>
        <v>0</v>
      </c>
      <c r="O225" s="9">
        <f t="shared" si="37"/>
        <v>0.0670126157833259</v>
      </c>
    </row>
    <row r="226" spans="1:15" ht="23.25" customHeight="1">
      <c r="A226" s="501"/>
      <c r="B226" s="22" t="s">
        <v>48</v>
      </c>
      <c r="C226" s="14" t="s">
        <v>49</v>
      </c>
      <c r="D226" s="11">
        <v>1980166</v>
      </c>
      <c r="E226" s="11">
        <v>1975260</v>
      </c>
      <c r="F226" s="11">
        <v>27891</v>
      </c>
      <c r="G226" s="11">
        <v>26283</v>
      </c>
      <c r="H226" s="11">
        <v>945280</v>
      </c>
      <c r="I226" s="11">
        <v>0</v>
      </c>
      <c r="J226" s="11">
        <v>0</v>
      </c>
      <c r="K226" s="11">
        <v>1128584</v>
      </c>
      <c r="L226" s="11">
        <v>0</v>
      </c>
      <c r="M226" s="28">
        <f>K226</f>
        <v>1128584</v>
      </c>
      <c r="N226" s="28">
        <v>0</v>
      </c>
      <c r="O226" s="9">
        <f t="shared" si="37"/>
        <v>0.03825745564855307</v>
      </c>
    </row>
    <row r="227" spans="1:15" ht="14.25" customHeight="1">
      <c r="A227" s="501"/>
      <c r="B227" s="22" t="s">
        <v>52</v>
      </c>
      <c r="C227" s="14" t="s">
        <v>53</v>
      </c>
      <c r="D227" s="11">
        <v>123848</v>
      </c>
      <c r="E227" s="11">
        <v>159042</v>
      </c>
      <c r="F227" s="11">
        <v>0</v>
      </c>
      <c r="G227" s="11">
        <v>0</v>
      </c>
      <c r="H227" s="11">
        <v>81231</v>
      </c>
      <c r="I227" s="11">
        <v>0</v>
      </c>
      <c r="J227" s="11">
        <v>0</v>
      </c>
      <c r="K227" s="11">
        <v>77858</v>
      </c>
      <c r="L227" s="11">
        <v>0</v>
      </c>
      <c r="M227" s="28">
        <f aca="true" t="shared" si="39" ref="M227:M241">K227</f>
        <v>77858</v>
      </c>
      <c r="N227" s="28">
        <v>0</v>
      </c>
      <c r="O227" s="9">
        <f t="shared" si="37"/>
        <v>0.00263927982488237</v>
      </c>
    </row>
    <row r="228" spans="1:15" ht="15" customHeight="1">
      <c r="A228" s="501"/>
      <c r="B228" s="29" t="s">
        <v>106</v>
      </c>
      <c r="C228" s="14" t="s">
        <v>122</v>
      </c>
      <c r="D228" s="11">
        <v>414136</v>
      </c>
      <c r="E228" s="11">
        <v>370552</v>
      </c>
      <c r="F228" s="11">
        <v>2840</v>
      </c>
      <c r="G228" s="11">
        <v>2000</v>
      </c>
      <c r="H228" s="11">
        <v>172211</v>
      </c>
      <c r="I228" s="11">
        <v>0</v>
      </c>
      <c r="J228" s="11">
        <v>0</v>
      </c>
      <c r="K228" s="11">
        <v>214800</v>
      </c>
      <c r="L228" s="11">
        <v>0</v>
      </c>
      <c r="M228" s="28">
        <f t="shared" si="39"/>
        <v>214800</v>
      </c>
      <c r="N228" s="28">
        <v>0</v>
      </c>
      <c r="O228" s="9">
        <f t="shared" si="37"/>
        <v>0.00728142652501648</v>
      </c>
    </row>
    <row r="229" spans="1:15" ht="16.5" customHeight="1">
      <c r="A229" s="501"/>
      <c r="B229" s="29" t="s">
        <v>56</v>
      </c>
      <c r="C229" s="14" t="s">
        <v>57</v>
      </c>
      <c r="D229" s="11"/>
      <c r="E229" s="11">
        <v>50795</v>
      </c>
      <c r="F229" s="11">
        <v>390</v>
      </c>
      <c r="G229" s="11">
        <v>165</v>
      </c>
      <c r="H229" s="11">
        <v>23528</v>
      </c>
      <c r="I229" s="11">
        <v>0</v>
      </c>
      <c r="J229" s="11">
        <v>0</v>
      </c>
      <c r="K229" s="11">
        <v>29560</v>
      </c>
      <c r="L229" s="11">
        <v>0</v>
      </c>
      <c r="M229" s="28">
        <f t="shared" si="39"/>
        <v>29560</v>
      </c>
      <c r="N229" s="28">
        <v>0</v>
      </c>
      <c r="O229" s="9">
        <f t="shared" si="37"/>
        <v>0.0010020436130329941</v>
      </c>
    </row>
    <row r="230" spans="1:15" ht="13.5" customHeight="1" hidden="1">
      <c r="A230" s="501"/>
      <c r="B230" s="22"/>
      <c r="C230" s="11" t="s">
        <v>97</v>
      </c>
      <c r="D230" s="11">
        <v>403703</v>
      </c>
      <c r="E230" s="11">
        <v>14845</v>
      </c>
      <c r="F230" s="11">
        <v>23380</v>
      </c>
      <c r="G230" s="11">
        <v>0</v>
      </c>
      <c r="H230" s="11">
        <v>0</v>
      </c>
      <c r="I230" s="11">
        <v>0</v>
      </c>
      <c r="J230" s="11">
        <v>0</v>
      </c>
      <c r="K230" s="11"/>
      <c r="L230" s="11">
        <v>0</v>
      </c>
      <c r="M230" s="28">
        <f t="shared" si="39"/>
        <v>0</v>
      </c>
      <c r="N230" s="28">
        <v>0</v>
      </c>
      <c r="O230" s="9">
        <f t="shared" si="37"/>
        <v>0</v>
      </c>
    </row>
    <row r="231" spans="1:15" ht="13.5" customHeight="1">
      <c r="A231" s="501"/>
      <c r="B231" s="22" t="s">
        <v>44</v>
      </c>
      <c r="C231" s="11" t="s">
        <v>183</v>
      </c>
      <c r="D231" s="11"/>
      <c r="E231" s="11"/>
      <c r="F231" s="11"/>
      <c r="G231" s="11"/>
      <c r="H231" s="11">
        <v>10022</v>
      </c>
      <c r="I231" s="11">
        <v>0</v>
      </c>
      <c r="J231" s="11">
        <v>0</v>
      </c>
      <c r="K231" s="11">
        <v>19208</v>
      </c>
      <c r="L231" s="11">
        <v>0</v>
      </c>
      <c r="M231" s="28">
        <f t="shared" si="39"/>
        <v>19208</v>
      </c>
      <c r="N231" s="28">
        <v>0</v>
      </c>
      <c r="O231" s="9">
        <f t="shared" si="37"/>
        <v>0.0006511249566690714</v>
      </c>
    </row>
    <row r="232" spans="1:15" ht="15.75" customHeight="1">
      <c r="A232" s="501"/>
      <c r="B232" s="22" t="s">
        <v>184</v>
      </c>
      <c r="C232" s="11" t="s">
        <v>185</v>
      </c>
      <c r="D232" s="11"/>
      <c r="E232" s="11">
        <v>8110</v>
      </c>
      <c r="F232" s="11">
        <v>0</v>
      </c>
      <c r="G232" s="11">
        <v>0</v>
      </c>
      <c r="H232" s="11">
        <v>4000</v>
      </c>
      <c r="I232" s="11">
        <v>0</v>
      </c>
      <c r="J232" s="11">
        <v>0</v>
      </c>
      <c r="K232" s="11">
        <v>5200</v>
      </c>
      <c r="L232" s="11">
        <v>0</v>
      </c>
      <c r="M232" s="28">
        <f t="shared" si="39"/>
        <v>5200</v>
      </c>
      <c r="N232" s="28">
        <v>0</v>
      </c>
      <c r="O232" s="9">
        <f t="shared" si="37"/>
        <v>0.0001762728953914604</v>
      </c>
    </row>
    <row r="233" spans="1:15" ht="15" customHeight="1">
      <c r="A233" s="501"/>
      <c r="B233" s="37">
        <v>4210</v>
      </c>
      <c r="C233" s="11" t="s">
        <v>85</v>
      </c>
      <c r="D233" s="11" t="e">
        <f>D235+#REF!</f>
        <v>#REF!</v>
      </c>
      <c r="E233" s="24">
        <v>110063</v>
      </c>
      <c r="F233" s="24">
        <v>262</v>
      </c>
      <c r="G233" s="24">
        <v>0</v>
      </c>
      <c r="H233" s="24">
        <v>87846</v>
      </c>
      <c r="I233" s="11">
        <v>0</v>
      </c>
      <c r="J233" s="11">
        <v>0</v>
      </c>
      <c r="K233" s="11">
        <v>88000</v>
      </c>
      <c r="L233" s="11">
        <v>0</v>
      </c>
      <c r="M233" s="28">
        <f t="shared" si="39"/>
        <v>88000</v>
      </c>
      <c r="N233" s="28">
        <v>0</v>
      </c>
      <c r="O233" s="9">
        <f t="shared" si="37"/>
        <v>0.002983079768163176</v>
      </c>
    </row>
    <row r="234" spans="1:15" ht="15" customHeight="1">
      <c r="A234" s="501"/>
      <c r="B234" s="37">
        <v>4240</v>
      </c>
      <c r="C234" s="11" t="s">
        <v>174</v>
      </c>
      <c r="D234" s="11"/>
      <c r="E234" s="24"/>
      <c r="F234" s="24"/>
      <c r="G234" s="24"/>
      <c r="H234" s="24"/>
      <c r="I234" s="11"/>
      <c r="J234" s="11"/>
      <c r="K234" s="11">
        <v>5000</v>
      </c>
      <c r="L234" s="11">
        <v>0</v>
      </c>
      <c r="M234" s="28">
        <f>K234</f>
        <v>5000</v>
      </c>
      <c r="N234" s="28">
        <v>0</v>
      </c>
      <c r="O234" s="9">
        <f t="shared" si="37"/>
        <v>0.000169493168645635</v>
      </c>
    </row>
    <row r="235" spans="1:15" ht="15" customHeight="1" hidden="1">
      <c r="A235" s="501"/>
      <c r="B235" s="22" t="s">
        <v>631</v>
      </c>
      <c r="C235" s="11" t="s">
        <v>632</v>
      </c>
      <c r="D235" s="11">
        <v>263344</v>
      </c>
      <c r="E235" s="11">
        <v>4750</v>
      </c>
      <c r="F235" s="11">
        <v>0</v>
      </c>
      <c r="G235" s="11">
        <v>0</v>
      </c>
      <c r="H235" s="11">
        <v>500</v>
      </c>
      <c r="I235" s="11">
        <v>0</v>
      </c>
      <c r="J235" s="11">
        <v>0</v>
      </c>
      <c r="K235" s="11">
        <v>0</v>
      </c>
      <c r="L235" s="11">
        <v>0</v>
      </c>
      <c r="M235" s="28">
        <f t="shared" si="39"/>
        <v>0</v>
      </c>
      <c r="N235" s="28">
        <v>0</v>
      </c>
      <c r="O235" s="9">
        <f t="shared" si="37"/>
        <v>0</v>
      </c>
    </row>
    <row r="236" spans="1:15" ht="15.75" customHeight="1">
      <c r="A236" s="501"/>
      <c r="B236" s="22" t="s">
        <v>60</v>
      </c>
      <c r="C236" s="11" t="s">
        <v>142</v>
      </c>
      <c r="D236" s="11"/>
      <c r="E236" s="11">
        <v>137000</v>
      </c>
      <c r="F236" s="11">
        <v>8000</v>
      </c>
      <c r="G236" s="11">
        <v>0</v>
      </c>
      <c r="H236" s="11">
        <v>50000</v>
      </c>
      <c r="I236" s="11">
        <v>0</v>
      </c>
      <c r="J236" s="11">
        <v>0</v>
      </c>
      <c r="K236" s="11">
        <v>50000</v>
      </c>
      <c r="L236" s="11">
        <v>0</v>
      </c>
      <c r="M236" s="28">
        <f t="shared" si="39"/>
        <v>50000</v>
      </c>
      <c r="N236" s="28">
        <v>0</v>
      </c>
      <c r="O236" s="9">
        <f t="shared" si="37"/>
        <v>0.00169493168645635</v>
      </c>
    </row>
    <row r="237" spans="1:15" ht="18" customHeight="1" hidden="1">
      <c r="A237" s="501"/>
      <c r="B237" s="22" t="s">
        <v>62</v>
      </c>
      <c r="C237" s="11" t="s">
        <v>143</v>
      </c>
      <c r="D237" s="11"/>
      <c r="E237" s="11">
        <v>24000</v>
      </c>
      <c r="F237" s="11">
        <v>7055</v>
      </c>
      <c r="G237" s="11">
        <v>894</v>
      </c>
      <c r="H237" s="11">
        <v>3210</v>
      </c>
      <c r="I237" s="24">
        <v>0</v>
      </c>
      <c r="J237" s="24">
        <v>0</v>
      </c>
      <c r="K237" s="24">
        <v>0</v>
      </c>
      <c r="L237" s="11">
        <v>0</v>
      </c>
      <c r="M237" s="28">
        <f t="shared" si="39"/>
        <v>0</v>
      </c>
      <c r="N237" s="28">
        <v>0</v>
      </c>
      <c r="O237" s="9">
        <f t="shared" si="37"/>
        <v>0</v>
      </c>
    </row>
    <row r="238" spans="1:15" ht="16.5" customHeight="1">
      <c r="A238" s="501"/>
      <c r="B238" s="22" t="s">
        <v>64</v>
      </c>
      <c r="C238" s="11" t="s">
        <v>65</v>
      </c>
      <c r="D238" s="11"/>
      <c r="E238" s="11">
        <v>58100</v>
      </c>
      <c r="F238" s="11">
        <v>0</v>
      </c>
      <c r="G238" s="11">
        <v>4500</v>
      </c>
      <c r="H238" s="11">
        <v>17196</v>
      </c>
      <c r="I238" s="11">
        <v>0</v>
      </c>
      <c r="J238" s="11">
        <v>0</v>
      </c>
      <c r="K238" s="11">
        <v>18000</v>
      </c>
      <c r="L238" s="11">
        <v>0</v>
      </c>
      <c r="M238" s="28">
        <f t="shared" si="39"/>
        <v>18000</v>
      </c>
      <c r="N238" s="28">
        <v>0</v>
      </c>
      <c r="O238" s="9">
        <f t="shared" si="37"/>
        <v>0.000610175407124286</v>
      </c>
    </row>
    <row r="239" spans="1:15" ht="17.25" customHeight="1">
      <c r="A239" s="501"/>
      <c r="B239" s="22" t="s">
        <v>66</v>
      </c>
      <c r="C239" s="11" t="s">
        <v>67</v>
      </c>
      <c r="D239" s="11"/>
      <c r="E239" s="11">
        <v>7500</v>
      </c>
      <c r="F239" s="11">
        <v>1200</v>
      </c>
      <c r="G239" s="11">
        <v>0</v>
      </c>
      <c r="H239" s="11">
        <v>4000</v>
      </c>
      <c r="I239" s="11">
        <v>0</v>
      </c>
      <c r="J239" s="11">
        <v>0</v>
      </c>
      <c r="K239" s="11">
        <v>4000</v>
      </c>
      <c r="L239" s="11">
        <v>0</v>
      </c>
      <c r="M239" s="28">
        <f t="shared" si="39"/>
        <v>4000</v>
      </c>
      <c r="N239" s="28">
        <v>0</v>
      </c>
      <c r="O239" s="9">
        <f t="shared" si="37"/>
        <v>0.000135594534916508</v>
      </c>
    </row>
    <row r="240" spans="1:15" ht="14.25" customHeight="1">
      <c r="A240" s="501"/>
      <c r="B240" s="22" t="s">
        <v>68</v>
      </c>
      <c r="C240" s="11" t="s">
        <v>69</v>
      </c>
      <c r="D240" s="11"/>
      <c r="E240" s="11">
        <v>873</v>
      </c>
      <c r="F240" s="11">
        <v>1000</v>
      </c>
      <c r="G240" s="11">
        <v>0</v>
      </c>
      <c r="H240" s="11">
        <v>1900</v>
      </c>
      <c r="I240" s="11">
        <v>0</v>
      </c>
      <c r="J240" s="11">
        <v>0</v>
      </c>
      <c r="K240" s="11">
        <v>2600</v>
      </c>
      <c r="L240" s="11">
        <v>0</v>
      </c>
      <c r="M240" s="28">
        <f t="shared" si="39"/>
        <v>2600</v>
      </c>
      <c r="N240" s="28">
        <v>0</v>
      </c>
      <c r="O240" s="9">
        <f t="shared" si="37"/>
        <v>8.81364476957302E-05</v>
      </c>
    </row>
    <row r="241" spans="1:15" ht="18.75" customHeight="1">
      <c r="A241" s="501"/>
      <c r="B241" s="22" t="s">
        <v>70</v>
      </c>
      <c r="C241" s="11" t="s">
        <v>71</v>
      </c>
      <c r="D241" s="11"/>
      <c r="E241" s="11">
        <v>126309</v>
      </c>
      <c r="F241" s="11">
        <v>0</v>
      </c>
      <c r="G241" s="11">
        <v>700</v>
      </c>
      <c r="H241" s="11">
        <v>64528</v>
      </c>
      <c r="I241" s="11">
        <v>0</v>
      </c>
      <c r="J241" s="11">
        <v>0</v>
      </c>
      <c r="K241" s="11">
        <v>60789</v>
      </c>
      <c r="L241" s="11">
        <v>0</v>
      </c>
      <c r="M241" s="28">
        <f t="shared" si="39"/>
        <v>60789</v>
      </c>
      <c r="N241" s="28">
        <v>0</v>
      </c>
      <c r="O241" s="9">
        <f t="shared" si="37"/>
        <v>0.0020606640457599013</v>
      </c>
    </row>
    <row r="242" spans="1:15" ht="27" customHeight="1">
      <c r="A242" s="27"/>
      <c r="B242" s="22" t="s">
        <v>176</v>
      </c>
      <c r="C242" s="14" t="s">
        <v>186</v>
      </c>
      <c r="D242" s="11"/>
      <c r="E242" s="11">
        <f>E243+E244</f>
        <v>302972</v>
      </c>
      <c r="F242" s="11">
        <f>F243+F244</f>
        <v>0</v>
      </c>
      <c r="G242" s="11">
        <f>G243+G244</f>
        <v>93147</v>
      </c>
      <c r="H242" s="11">
        <f>H243+H244+H250</f>
        <v>292548</v>
      </c>
      <c r="I242" s="11">
        <f>I243+I244+I250</f>
        <v>0</v>
      </c>
      <c r="J242" s="11">
        <f>J243+J244+J250</f>
        <v>0</v>
      </c>
      <c r="K242" s="11">
        <f>K243+K244+K245</f>
        <v>273254</v>
      </c>
      <c r="L242" s="11">
        <v>0</v>
      </c>
      <c r="M242" s="28">
        <f>K242</f>
        <v>273254</v>
      </c>
      <c r="N242" s="28">
        <v>0</v>
      </c>
      <c r="O242" s="9">
        <f t="shared" si="37"/>
        <v>0.00926293726101887</v>
      </c>
    </row>
    <row r="243" spans="1:15" ht="13.5" customHeight="1">
      <c r="A243" s="27"/>
      <c r="B243" s="22"/>
      <c r="C243" s="11" t="s">
        <v>187</v>
      </c>
      <c r="D243" s="11"/>
      <c r="E243" s="11">
        <v>246759</v>
      </c>
      <c r="F243" s="11">
        <v>0</v>
      </c>
      <c r="G243" s="11">
        <v>72750</v>
      </c>
      <c r="H243" s="11">
        <v>163395</v>
      </c>
      <c r="I243" s="11">
        <v>0</v>
      </c>
      <c r="J243" s="11">
        <v>0</v>
      </c>
      <c r="K243" s="11">
        <v>62124</v>
      </c>
      <c r="L243" s="11">
        <v>0</v>
      </c>
      <c r="M243" s="28">
        <f>K243</f>
        <v>62124</v>
      </c>
      <c r="N243" s="28">
        <v>0</v>
      </c>
      <c r="O243" s="9">
        <f t="shared" si="37"/>
        <v>0.002105918721788286</v>
      </c>
    </row>
    <row r="244" spans="1:15" ht="13.5" customHeight="1">
      <c r="A244" s="27"/>
      <c r="B244" s="11"/>
      <c r="C244" s="11" t="s">
        <v>188</v>
      </c>
      <c r="D244" s="11"/>
      <c r="E244" s="11">
        <v>56213</v>
      </c>
      <c r="F244" s="11">
        <v>0</v>
      </c>
      <c r="G244" s="11">
        <v>20397</v>
      </c>
      <c r="H244" s="11">
        <v>42553</v>
      </c>
      <c r="I244" s="11">
        <v>0</v>
      </c>
      <c r="J244" s="11">
        <v>0</v>
      </c>
      <c r="K244" s="11">
        <v>39687</v>
      </c>
      <c r="L244" s="11">
        <v>0</v>
      </c>
      <c r="M244" s="28">
        <f>K244</f>
        <v>39687</v>
      </c>
      <c r="N244" s="28">
        <v>0</v>
      </c>
      <c r="O244" s="9">
        <f t="shared" si="37"/>
        <v>0.0013453350768078633</v>
      </c>
    </row>
    <row r="245" spans="1:15" ht="13.5" customHeight="1">
      <c r="A245" s="27"/>
      <c r="B245" s="11"/>
      <c r="C245" s="11" t="s">
        <v>189</v>
      </c>
      <c r="D245" s="11"/>
      <c r="E245" s="11"/>
      <c r="F245" s="11"/>
      <c r="G245" s="11"/>
      <c r="H245" s="11"/>
      <c r="I245" s="11"/>
      <c r="J245" s="11"/>
      <c r="K245" s="11">
        <v>171443</v>
      </c>
      <c r="L245" s="11">
        <v>0</v>
      </c>
      <c r="M245" s="28">
        <f>K245</f>
        <v>171443</v>
      </c>
      <c r="N245" s="28">
        <v>0</v>
      </c>
      <c r="O245" s="9">
        <f t="shared" si="37"/>
        <v>0.0058116834624227206</v>
      </c>
    </row>
    <row r="246" spans="1:15" ht="18.75" customHeight="1">
      <c r="A246" s="30" t="s">
        <v>810</v>
      </c>
      <c r="B246" s="10"/>
      <c r="C246" s="10" t="s">
        <v>811</v>
      </c>
      <c r="D246" s="10"/>
      <c r="E246" s="10"/>
      <c r="F246" s="10"/>
      <c r="G246" s="10"/>
      <c r="H246" s="10"/>
      <c r="I246" s="10"/>
      <c r="J246" s="10"/>
      <c r="K246" s="10">
        <f>K247+K248+K249+K251+K252+K253+K254+K255</f>
        <v>457182</v>
      </c>
      <c r="L246" s="10">
        <f>L247+L248+L249+L251+L252+L253+L254+L255</f>
        <v>0</v>
      </c>
      <c r="M246" s="10">
        <f>M247+M248+M249+M251+M252+M253+M254+M255</f>
        <v>457182</v>
      </c>
      <c r="N246" s="10">
        <f>N247+N248+N249+N251+N252+N253+N254+N255</f>
        <v>0</v>
      </c>
      <c r="O246" s="13">
        <f t="shared" si="37"/>
        <v>0.01549784516554974</v>
      </c>
    </row>
    <row r="247" spans="1:15" ht="24.75" customHeight="1">
      <c r="A247" s="27"/>
      <c r="B247" s="11">
        <v>4010</v>
      </c>
      <c r="C247" s="14" t="s">
        <v>49</v>
      </c>
      <c r="D247" s="11"/>
      <c r="E247" s="11"/>
      <c r="F247" s="11"/>
      <c r="G247" s="11"/>
      <c r="H247" s="11"/>
      <c r="I247" s="11"/>
      <c r="J247" s="11"/>
      <c r="K247" s="11">
        <v>314883</v>
      </c>
      <c r="L247" s="11">
        <v>0</v>
      </c>
      <c r="M247" s="28">
        <f aca="true" t="shared" si="40" ref="M247:M254">K247</f>
        <v>314883</v>
      </c>
      <c r="N247" s="28">
        <v>0</v>
      </c>
      <c r="O247" s="9">
        <f t="shared" si="37"/>
        <v>0.010674103484528697</v>
      </c>
    </row>
    <row r="248" spans="1:15" ht="13.5" customHeight="1">
      <c r="A248" s="27"/>
      <c r="B248" s="11">
        <v>4110</v>
      </c>
      <c r="C248" s="14" t="s">
        <v>122</v>
      </c>
      <c r="D248" s="11"/>
      <c r="E248" s="11"/>
      <c r="F248" s="11"/>
      <c r="G248" s="11"/>
      <c r="H248" s="11"/>
      <c r="I248" s="11"/>
      <c r="J248" s="11"/>
      <c r="K248" s="11">
        <v>56561</v>
      </c>
      <c r="L248" s="11">
        <v>0</v>
      </c>
      <c r="M248" s="28">
        <f t="shared" si="40"/>
        <v>56561</v>
      </c>
      <c r="N248" s="28">
        <v>0</v>
      </c>
      <c r="O248" s="9">
        <f aca="true" t="shared" si="41" ref="O248:O289">K248/$K$549</f>
        <v>0.0019173406223531523</v>
      </c>
    </row>
    <row r="249" spans="1:15" ht="13.5" customHeight="1">
      <c r="A249" s="27"/>
      <c r="B249" s="11">
        <v>4120</v>
      </c>
      <c r="C249" s="14" t="s">
        <v>57</v>
      </c>
      <c r="D249" s="11"/>
      <c r="E249" s="11"/>
      <c r="F249" s="11"/>
      <c r="G249" s="11"/>
      <c r="H249" s="11"/>
      <c r="I249" s="11"/>
      <c r="J249" s="11"/>
      <c r="K249" s="11">
        <v>7696</v>
      </c>
      <c r="L249" s="11">
        <v>0</v>
      </c>
      <c r="M249" s="28">
        <f t="shared" si="40"/>
        <v>7696</v>
      </c>
      <c r="N249" s="28">
        <v>0</v>
      </c>
      <c r="O249" s="9">
        <f t="shared" si="41"/>
        <v>0.0002608838851793614</v>
      </c>
    </row>
    <row r="250" spans="1:15" ht="13.5" customHeight="1" hidden="1">
      <c r="A250" s="27"/>
      <c r="B250" s="11"/>
      <c r="C250" s="11" t="s">
        <v>189</v>
      </c>
      <c r="D250" s="11"/>
      <c r="E250" s="11"/>
      <c r="F250" s="11"/>
      <c r="G250" s="11"/>
      <c r="H250" s="11">
        <v>86600</v>
      </c>
      <c r="I250" s="11">
        <v>0</v>
      </c>
      <c r="J250" s="11">
        <v>0</v>
      </c>
      <c r="K250" s="11">
        <v>0</v>
      </c>
      <c r="L250" s="11">
        <v>0</v>
      </c>
      <c r="M250" s="28">
        <f t="shared" si="40"/>
        <v>0</v>
      </c>
      <c r="N250" s="28">
        <v>0</v>
      </c>
      <c r="O250" s="9">
        <f t="shared" si="41"/>
        <v>0</v>
      </c>
    </row>
    <row r="251" spans="1:15" ht="13.5" customHeight="1">
      <c r="A251" s="27"/>
      <c r="B251" s="11">
        <v>4210</v>
      </c>
      <c r="C251" s="11" t="s">
        <v>85</v>
      </c>
      <c r="D251" s="11"/>
      <c r="E251" s="11"/>
      <c r="F251" s="11"/>
      <c r="G251" s="11"/>
      <c r="H251" s="11"/>
      <c r="I251" s="11"/>
      <c r="J251" s="11"/>
      <c r="K251" s="11">
        <v>44979</v>
      </c>
      <c r="L251" s="11">
        <v>0</v>
      </c>
      <c r="M251" s="28">
        <f t="shared" si="40"/>
        <v>44979</v>
      </c>
      <c r="N251" s="28">
        <v>0</v>
      </c>
      <c r="O251" s="9">
        <f t="shared" si="41"/>
        <v>0.0015247266465024034</v>
      </c>
    </row>
    <row r="252" spans="1:15" ht="13.5" customHeight="1">
      <c r="A252" s="27"/>
      <c r="B252" s="11">
        <v>4260</v>
      </c>
      <c r="C252" s="11" t="s">
        <v>142</v>
      </c>
      <c r="D252" s="11"/>
      <c r="E252" s="11"/>
      <c r="F252" s="11"/>
      <c r="G252" s="11"/>
      <c r="H252" s="11"/>
      <c r="I252" s="11"/>
      <c r="J252" s="11"/>
      <c r="K252" s="11">
        <v>12000</v>
      </c>
      <c r="L252" s="11">
        <v>0</v>
      </c>
      <c r="M252" s="28">
        <f t="shared" si="40"/>
        <v>12000</v>
      </c>
      <c r="N252" s="28">
        <v>0</v>
      </c>
      <c r="O252" s="9">
        <f t="shared" si="41"/>
        <v>0.00040678360474952403</v>
      </c>
    </row>
    <row r="253" spans="1:15" ht="13.5" customHeight="1">
      <c r="A253" s="27"/>
      <c r="B253" s="11">
        <v>4300</v>
      </c>
      <c r="C253" s="11" t="s">
        <v>65</v>
      </c>
      <c r="D253" s="11"/>
      <c r="E253" s="11"/>
      <c r="F253" s="11"/>
      <c r="G253" s="11"/>
      <c r="H253" s="11"/>
      <c r="I253" s="11"/>
      <c r="J253" s="11"/>
      <c r="K253" s="11">
        <v>4664</v>
      </c>
      <c r="L253" s="11">
        <v>0</v>
      </c>
      <c r="M253" s="28">
        <f t="shared" si="40"/>
        <v>4664</v>
      </c>
      <c r="N253" s="28">
        <v>0</v>
      </c>
      <c r="O253" s="9">
        <f t="shared" si="41"/>
        <v>0.00015810322771264834</v>
      </c>
    </row>
    <row r="254" spans="1:15" ht="13.5" customHeight="1">
      <c r="A254" s="27"/>
      <c r="B254" s="11">
        <v>4440</v>
      </c>
      <c r="C254" s="11" t="s">
        <v>71</v>
      </c>
      <c r="D254" s="11"/>
      <c r="E254" s="11"/>
      <c r="F254" s="11"/>
      <c r="G254" s="11"/>
      <c r="H254" s="11"/>
      <c r="I254" s="11"/>
      <c r="J254" s="11"/>
      <c r="K254" s="11">
        <v>15378</v>
      </c>
      <c r="L254" s="11">
        <v>0</v>
      </c>
      <c r="M254" s="28">
        <f t="shared" si="40"/>
        <v>15378</v>
      </c>
      <c r="N254" s="28">
        <v>0</v>
      </c>
      <c r="O254" s="9">
        <f t="shared" si="41"/>
        <v>0.0005212931894865151</v>
      </c>
    </row>
    <row r="255" spans="1:15" ht="13.5" customHeight="1">
      <c r="A255" s="27"/>
      <c r="B255" s="11">
        <v>4480</v>
      </c>
      <c r="C255" s="11" t="s">
        <v>87</v>
      </c>
      <c r="D255" s="11"/>
      <c r="E255" s="11"/>
      <c r="F255" s="11"/>
      <c r="G255" s="11"/>
      <c r="H255" s="11"/>
      <c r="I255" s="11"/>
      <c r="J255" s="11"/>
      <c r="K255" s="11">
        <v>1021</v>
      </c>
      <c r="L255" s="11">
        <v>0</v>
      </c>
      <c r="M255" s="28">
        <f>K255</f>
        <v>1021</v>
      </c>
      <c r="N255" s="28">
        <v>0</v>
      </c>
      <c r="O255" s="9">
        <f t="shared" si="41"/>
        <v>3.461050503743867E-05</v>
      </c>
    </row>
    <row r="256" spans="1:15" ht="13.5" customHeight="1">
      <c r="A256" s="30" t="s">
        <v>191</v>
      </c>
      <c r="B256" s="31"/>
      <c r="C256" s="10" t="s">
        <v>192</v>
      </c>
      <c r="D256" s="10">
        <f>D257+D258+D259+D262</f>
        <v>1881934</v>
      </c>
      <c r="E256" s="10">
        <f>E257+E258+E259+E260+E261+E262+E264+E265+E266+E267+E268+E269+E270+E271+E278+E283</f>
        <v>4748335</v>
      </c>
      <c r="F256" s="10">
        <f>F257+F258+F259+F260+F261+F262+F264+F265+F266+F267+F268+F269+F270+F271+F278+F283</f>
        <v>94490</v>
      </c>
      <c r="G256" s="10">
        <f>G257+G258+G259+G260+G261+G262+G264+G265+G266+G267+G268+G269+G270+G271+G278+G283</f>
        <v>82430</v>
      </c>
      <c r="H256" s="10">
        <f aca="true" t="shared" si="42" ref="H256:N256">H257+H258+H259+H260+H261+H262+H264+H265+H266+H267+H268+H269+H270+H271+H278+H283+H263+H277+H303+H304</f>
        <v>5903228</v>
      </c>
      <c r="I256" s="10">
        <f t="shared" si="42"/>
        <v>0</v>
      </c>
      <c r="J256" s="10">
        <f t="shared" si="42"/>
        <v>0</v>
      </c>
      <c r="K256" s="10">
        <f>K257+K258+K259+K260+K261+K262+K264+K265+K266+K267+K268+K269+K270+K271+K278+K283+K263+K277+K303+K304</f>
        <v>6110039</v>
      </c>
      <c r="L256" s="10">
        <f t="shared" si="42"/>
        <v>0</v>
      </c>
      <c r="M256" s="10">
        <f t="shared" si="42"/>
        <v>6110039</v>
      </c>
      <c r="N256" s="10">
        <f t="shared" si="42"/>
        <v>0</v>
      </c>
      <c r="O256" s="9">
        <f t="shared" si="41"/>
        <v>0.2071219741316814</v>
      </c>
    </row>
    <row r="257" spans="1:15" ht="24" customHeight="1">
      <c r="A257" s="27"/>
      <c r="B257" s="22" t="s">
        <v>48</v>
      </c>
      <c r="C257" s="14" t="s">
        <v>49</v>
      </c>
      <c r="D257" s="11">
        <v>1306363</v>
      </c>
      <c r="E257" s="11">
        <v>2620120</v>
      </c>
      <c r="F257" s="11">
        <v>76198</v>
      </c>
      <c r="G257" s="11">
        <v>0</v>
      </c>
      <c r="H257" s="11">
        <v>2726797</v>
      </c>
      <c r="I257" s="11">
        <v>0</v>
      </c>
      <c r="J257" s="11">
        <v>0</v>
      </c>
      <c r="K257" s="11">
        <v>2468078</v>
      </c>
      <c r="L257" s="11">
        <v>0</v>
      </c>
      <c r="M257" s="28">
        <f>K257</f>
        <v>2468078</v>
      </c>
      <c r="N257" s="28">
        <v>0</v>
      </c>
      <c r="O257" s="9">
        <f t="shared" si="41"/>
        <v>0.08366447213691632</v>
      </c>
    </row>
    <row r="258" spans="1:15" ht="15" customHeight="1">
      <c r="A258" s="27"/>
      <c r="B258" s="22" t="s">
        <v>52</v>
      </c>
      <c r="C258" s="14" t="s">
        <v>53</v>
      </c>
      <c r="D258" s="11">
        <v>74072</v>
      </c>
      <c r="E258" s="11">
        <v>90144</v>
      </c>
      <c r="F258" s="11">
        <v>0</v>
      </c>
      <c r="G258" s="11">
        <v>0</v>
      </c>
      <c r="H258" s="11">
        <v>234704</v>
      </c>
      <c r="I258" s="11">
        <v>0</v>
      </c>
      <c r="J258" s="11">
        <v>0</v>
      </c>
      <c r="K258" s="11">
        <v>224742</v>
      </c>
      <c r="L258" s="11">
        <v>0</v>
      </c>
      <c r="M258" s="28">
        <f aca="true" t="shared" si="43" ref="M258:M304">K258</f>
        <v>224742</v>
      </c>
      <c r="N258" s="28">
        <v>0</v>
      </c>
      <c r="O258" s="9">
        <f t="shared" si="41"/>
        <v>0.00761844674155146</v>
      </c>
    </row>
    <row r="259" spans="1:15" ht="12.75" customHeight="1">
      <c r="A259" s="27"/>
      <c r="B259" s="29" t="s">
        <v>106</v>
      </c>
      <c r="C259" s="14" t="s">
        <v>122</v>
      </c>
      <c r="D259" s="11">
        <v>239437</v>
      </c>
      <c r="E259" s="11">
        <v>480155</v>
      </c>
      <c r="F259" s="11">
        <v>6005</v>
      </c>
      <c r="G259" s="11">
        <v>0</v>
      </c>
      <c r="H259" s="11">
        <v>501692</v>
      </c>
      <c r="I259" s="11">
        <v>0</v>
      </c>
      <c r="J259" s="11">
        <v>0</v>
      </c>
      <c r="K259" s="11">
        <v>473489</v>
      </c>
      <c r="L259" s="11">
        <v>0</v>
      </c>
      <c r="M259" s="28">
        <f t="shared" si="43"/>
        <v>473489</v>
      </c>
      <c r="N259" s="28">
        <v>0</v>
      </c>
      <c r="O259" s="9">
        <f t="shared" si="41"/>
        <v>0.016050630185770614</v>
      </c>
    </row>
    <row r="260" spans="1:15" ht="16.5" customHeight="1">
      <c r="A260" s="27"/>
      <c r="B260" s="29" t="s">
        <v>56</v>
      </c>
      <c r="C260" s="14" t="s">
        <v>57</v>
      </c>
      <c r="D260" s="11"/>
      <c r="E260" s="11">
        <v>62713</v>
      </c>
      <c r="F260" s="11">
        <v>822</v>
      </c>
      <c r="G260" s="11">
        <v>0</v>
      </c>
      <c r="H260" s="11">
        <v>68932</v>
      </c>
      <c r="I260" s="11">
        <v>0</v>
      </c>
      <c r="J260" s="11">
        <v>0</v>
      </c>
      <c r="K260" s="11">
        <v>64920</v>
      </c>
      <c r="L260" s="11">
        <v>0</v>
      </c>
      <c r="M260" s="28">
        <f t="shared" si="43"/>
        <v>64920</v>
      </c>
      <c r="N260" s="28">
        <v>0</v>
      </c>
      <c r="O260" s="9">
        <f t="shared" si="41"/>
        <v>0.002200699301694925</v>
      </c>
    </row>
    <row r="261" spans="1:15" ht="3" customHeight="1" hidden="1">
      <c r="A261" s="27"/>
      <c r="B261" s="29"/>
      <c r="C261" s="14" t="s">
        <v>97</v>
      </c>
      <c r="D261" s="11"/>
      <c r="E261" s="11">
        <v>2580</v>
      </c>
      <c r="F261" s="11">
        <v>0</v>
      </c>
      <c r="G261" s="11">
        <v>150</v>
      </c>
      <c r="H261" s="11">
        <v>0</v>
      </c>
      <c r="I261" s="11"/>
      <c r="J261" s="11"/>
      <c r="K261" s="11"/>
      <c r="L261" s="11">
        <v>0</v>
      </c>
      <c r="M261" s="28">
        <f t="shared" si="43"/>
        <v>0</v>
      </c>
      <c r="N261" s="28">
        <v>0</v>
      </c>
      <c r="O261" s="9">
        <f t="shared" si="41"/>
        <v>0</v>
      </c>
    </row>
    <row r="262" spans="1:15" ht="17.25" customHeight="1">
      <c r="A262" s="27"/>
      <c r="B262" s="22" t="s">
        <v>44</v>
      </c>
      <c r="C262" s="14" t="s">
        <v>193</v>
      </c>
      <c r="D262" s="11">
        <v>262062</v>
      </c>
      <c r="E262" s="11">
        <v>7439</v>
      </c>
      <c r="F262" s="11">
        <v>0</v>
      </c>
      <c r="G262" s="11">
        <v>0</v>
      </c>
      <c r="H262" s="11">
        <v>13104</v>
      </c>
      <c r="I262" s="11">
        <v>0</v>
      </c>
      <c r="J262" s="11">
        <v>0</v>
      </c>
      <c r="K262" s="11">
        <v>4872</v>
      </c>
      <c r="L262" s="11">
        <v>0</v>
      </c>
      <c r="M262" s="28">
        <f t="shared" si="43"/>
        <v>4872</v>
      </c>
      <c r="N262" s="28">
        <v>0</v>
      </c>
      <c r="O262" s="9">
        <f t="shared" si="41"/>
        <v>0.00016515414352830674</v>
      </c>
    </row>
    <row r="263" spans="1:15" ht="14.25" customHeight="1">
      <c r="A263" s="27"/>
      <c r="B263" s="22" t="s">
        <v>184</v>
      </c>
      <c r="C263" s="14" t="s">
        <v>194</v>
      </c>
      <c r="D263" s="11"/>
      <c r="E263" s="11"/>
      <c r="F263" s="11"/>
      <c r="G263" s="11"/>
      <c r="H263" s="11">
        <v>7365</v>
      </c>
      <c r="I263" s="11">
        <v>0</v>
      </c>
      <c r="J263" s="11">
        <v>0</v>
      </c>
      <c r="K263" s="11">
        <v>8642</v>
      </c>
      <c r="L263" s="11">
        <v>0</v>
      </c>
      <c r="M263" s="28">
        <f t="shared" si="43"/>
        <v>8642</v>
      </c>
      <c r="N263" s="28">
        <v>0</v>
      </c>
      <c r="O263" s="9">
        <f t="shared" si="41"/>
        <v>0.00029295199268711557</v>
      </c>
    </row>
    <row r="264" spans="1:15" ht="16.5" customHeight="1">
      <c r="A264" s="27"/>
      <c r="B264" s="22" t="s">
        <v>58</v>
      </c>
      <c r="C264" s="11" t="s">
        <v>85</v>
      </c>
      <c r="D264" s="11"/>
      <c r="E264" s="11">
        <v>262668</v>
      </c>
      <c r="F264" s="11">
        <v>7750</v>
      </c>
      <c r="G264" s="11">
        <v>0</v>
      </c>
      <c r="H264" s="11">
        <v>385291</v>
      </c>
      <c r="I264" s="11">
        <v>0</v>
      </c>
      <c r="J264" s="11">
        <v>0</v>
      </c>
      <c r="K264" s="11">
        <v>337549</v>
      </c>
      <c r="L264" s="11">
        <v>0</v>
      </c>
      <c r="M264" s="28">
        <f t="shared" si="43"/>
        <v>337549</v>
      </c>
      <c r="N264" s="28">
        <v>0</v>
      </c>
      <c r="O264" s="9">
        <f t="shared" si="41"/>
        <v>0.01144244991663309</v>
      </c>
    </row>
    <row r="265" spans="1:15" ht="15" customHeight="1">
      <c r="A265" s="27"/>
      <c r="B265" s="22" t="s">
        <v>173</v>
      </c>
      <c r="C265" s="11" t="s">
        <v>174</v>
      </c>
      <c r="D265" s="11"/>
      <c r="E265" s="11">
        <v>5206</v>
      </c>
      <c r="F265" s="11">
        <v>0</v>
      </c>
      <c r="G265" s="11">
        <v>1000</v>
      </c>
      <c r="H265" s="11">
        <v>5000</v>
      </c>
      <c r="I265" s="11">
        <v>0</v>
      </c>
      <c r="J265" s="11">
        <v>0</v>
      </c>
      <c r="K265" s="11">
        <v>10941</v>
      </c>
      <c r="L265" s="11">
        <v>0</v>
      </c>
      <c r="M265" s="28">
        <f t="shared" si="43"/>
        <v>10941</v>
      </c>
      <c r="N265" s="28">
        <v>0</v>
      </c>
      <c r="O265" s="9">
        <f t="shared" si="41"/>
        <v>0.00037088495163037854</v>
      </c>
    </row>
    <row r="266" spans="1:15" ht="15" customHeight="1">
      <c r="A266" s="27"/>
      <c r="B266" s="22" t="s">
        <v>60</v>
      </c>
      <c r="C266" s="11" t="s">
        <v>142</v>
      </c>
      <c r="D266" s="11"/>
      <c r="E266" s="11">
        <v>47707</v>
      </c>
      <c r="F266" s="11">
        <v>0</v>
      </c>
      <c r="G266" s="11">
        <v>3000</v>
      </c>
      <c r="H266" s="11">
        <v>100000</v>
      </c>
      <c r="I266" s="11">
        <v>0</v>
      </c>
      <c r="J266" s="11">
        <v>0</v>
      </c>
      <c r="K266" s="11">
        <v>88260</v>
      </c>
      <c r="L266" s="11">
        <v>0</v>
      </c>
      <c r="M266" s="28">
        <f t="shared" si="43"/>
        <v>88260</v>
      </c>
      <c r="N266" s="28">
        <v>0</v>
      </c>
      <c r="O266" s="9">
        <f t="shared" si="41"/>
        <v>0.002991893412932749</v>
      </c>
    </row>
    <row r="267" spans="1:15" ht="15" customHeight="1">
      <c r="A267" s="27"/>
      <c r="B267" s="22" t="s">
        <v>62</v>
      </c>
      <c r="C267" s="11" t="s">
        <v>143</v>
      </c>
      <c r="D267" s="11"/>
      <c r="E267" s="11">
        <v>55847</v>
      </c>
      <c r="F267" s="11">
        <v>0</v>
      </c>
      <c r="G267" s="11">
        <v>765</v>
      </c>
      <c r="H267" s="11">
        <v>5000</v>
      </c>
      <c r="I267" s="11">
        <v>0</v>
      </c>
      <c r="J267" s="11">
        <v>0</v>
      </c>
      <c r="K267" s="11">
        <v>106416</v>
      </c>
      <c r="L267" s="11">
        <v>0</v>
      </c>
      <c r="M267" s="28">
        <f t="shared" si="43"/>
        <v>106416</v>
      </c>
      <c r="N267" s="28">
        <v>0</v>
      </c>
      <c r="O267" s="9">
        <f t="shared" si="41"/>
        <v>0.0036073570069187788</v>
      </c>
    </row>
    <row r="268" spans="1:15" ht="14.25" customHeight="1">
      <c r="A268" s="27"/>
      <c r="B268" s="22" t="s">
        <v>64</v>
      </c>
      <c r="C268" s="11" t="s">
        <v>144</v>
      </c>
      <c r="D268" s="11"/>
      <c r="E268" s="11">
        <v>36614</v>
      </c>
      <c r="F268" s="11">
        <v>3715</v>
      </c>
      <c r="G268" s="11">
        <v>0</v>
      </c>
      <c r="H268" s="11">
        <v>97824</v>
      </c>
      <c r="I268" s="11">
        <v>0</v>
      </c>
      <c r="J268" s="11">
        <v>0</v>
      </c>
      <c r="K268" s="11">
        <v>77906</v>
      </c>
      <c r="L268" s="11">
        <v>0</v>
      </c>
      <c r="M268" s="28">
        <f t="shared" si="43"/>
        <v>77906</v>
      </c>
      <c r="N268" s="28">
        <v>0</v>
      </c>
      <c r="O268" s="9">
        <f t="shared" si="41"/>
        <v>0.002640906959301368</v>
      </c>
    </row>
    <row r="269" spans="1:15" ht="15" customHeight="1">
      <c r="A269" s="27"/>
      <c r="B269" s="22" t="s">
        <v>66</v>
      </c>
      <c r="C269" s="11" t="s">
        <v>67</v>
      </c>
      <c r="D269" s="11"/>
      <c r="E269" s="11">
        <v>3411</v>
      </c>
      <c r="F269" s="11">
        <v>0</v>
      </c>
      <c r="G269" s="11">
        <v>1800</v>
      </c>
      <c r="H269" s="11">
        <v>3800</v>
      </c>
      <c r="I269" s="11">
        <v>0</v>
      </c>
      <c r="J269" s="11">
        <v>0</v>
      </c>
      <c r="K269" s="11">
        <v>3500</v>
      </c>
      <c r="L269" s="11">
        <v>0</v>
      </c>
      <c r="M269" s="28">
        <f t="shared" si="43"/>
        <v>3500</v>
      </c>
      <c r="N269" s="28">
        <v>0</v>
      </c>
      <c r="O269" s="9">
        <f t="shared" si="41"/>
        <v>0.0001186452180519445</v>
      </c>
    </row>
    <row r="270" spans="1:15" ht="15.75" customHeight="1">
      <c r="A270" s="27"/>
      <c r="B270" s="22" t="s">
        <v>68</v>
      </c>
      <c r="C270" s="11" t="s">
        <v>69</v>
      </c>
      <c r="D270" s="11"/>
      <c r="E270" s="11">
        <v>5700</v>
      </c>
      <c r="F270" s="11">
        <v>0</v>
      </c>
      <c r="G270" s="11">
        <v>0</v>
      </c>
      <c r="H270" s="11">
        <v>2900</v>
      </c>
      <c r="I270" s="24">
        <v>0</v>
      </c>
      <c r="J270" s="24">
        <v>0</v>
      </c>
      <c r="K270" s="24">
        <v>3900</v>
      </c>
      <c r="L270" s="11">
        <v>0</v>
      </c>
      <c r="M270" s="28">
        <f t="shared" si="43"/>
        <v>3900</v>
      </c>
      <c r="N270" s="28">
        <v>0</v>
      </c>
      <c r="O270" s="9">
        <f t="shared" si="41"/>
        <v>0.0001322046715435953</v>
      </c>
    </row>
    <row r="271" spans="1:15" ht="16.5" customHeight="1">
      <c r="A271" s="27"/>
      <c r="B271" s="22" t="s">
        <v>70</v>
      </c>
      <c r="C271" s="11" t="s">
        <v>71</v>
      </c>
      <c r="D271" s="11"/>
      <c r="E271" s="11">
        <v>156652</v>
      </c>
      <c r="F271" s="11">
        <v>0</v>
      </c>
      <c r="G271" s="11">
        <v>1550</v>
      </c>
      <c r="H271" s="11">
        <v>158365</v>
      </c>
      <c r="I271" s="11">
        <v>0</v>
      </c>
      <c r="J271" s="11">
        <v>0</v>
      </c>
      <c r="K271" s="11">
        <v>123022</v>
      </c>
      <c r="L271" s="11">
        <v>0</v>
      </c>
      <c r="M271" s="28">
        <f t="shared" si="43"/>
        <v>123022</v>
      </c>
      <c r="N271" s="28">
        <v>0</v>
      </c>
      <c r="O271" s="9">
        <f t="shared" si="41"/>
        <v>0.0041702777186246615</v>
      </c>
    </row>
    <row r="272" spans="1:15" ht="18" customHeight="1" hidden="1">
      <c r="A272" s="27"/>
      <c r="B272" s="22"/>
      <c r="C272" s="11"/>
      <c r="D272" s="11"/>
      <c r="E272" s="11"/>
      <c r="F272" s="11"/>
      <c r="G272" s="11"/>
      <c r="H272" s="11"/>
      <c r="I272" s="11">
        <v>0</v>
      </c>
      <c r="J272" s="11">
        <v>0</v>
      </c>
      <c r="K272" s="11"/>
      <c r="L272" s="11">
        <v>0</v>
      </c>
      <c r="M272" s="28">
        <f t="shared" si="43"/>
        <v>0</v>
      </c>
      <c r="N272" s="28">
        <v>0</v>
      </c>
      <c r="O272" s="9">
        <f t="shared" si="41"/>
        <v>0</v>
      </c>
    </row>
    <row r="273" spans="1:15" ht="15.75" customHeight="1" hidden="1">
      <c r="A273" s="27"/>
      <c r="B273" s="22"/>
      <c r="C273" s="11"/>
      <c r="D273" s="11"/>
      <c r="E273" s="11"/>
      <c r="F273" s="11"/>
      <c r="G273" s="11"/>
      <c r="H273" s="11"/>
      <c r="I273" s="11">
        <v>0</v>
      </c>
      <c r="J273" s="11">
        <v>0</v>
      </c>
      <c r="K273" s="11"/>
      <c r="L273" s="11">
        <v>0</v>
      </c>
      <c r="M273" s="28">
        <f t="shared" si="43"/>
        <v>0</v>
      </c>
      <c r="N273" s="28">
        <v>0</v>
      </c>
      <c r="O273" s="9">
        <f t="shared" si="41"/>
        <v>0</v>
      </c>
    </row>
    <row r="274" spans="1:15" ht="15.75" customHeight="1" hidden="1">
      <c r="A274" s="27"/>
      <c r="B274" s="22"/>
      <c r="C274" s="11"/>
      <c r="D274" s="11"/>
      <c r="E274" s="11"/>
      <c r="F274" s="11"/>
      <c r="G274" s="11"/>
      <c r="H274" s="11"/>
      <c r="I274" s="11">
        <v>0</v>
      </c>
      <c r="J274" s="11">
        <v>0</v>
      </c>
      <c r="K274" s="11"/>
      <c r="L274" s="11">
        <v>0</v>
      </c>
      <c r="M274" s="28">
        <f t="shared" si="43"/>
        <v>0</v>
      </c>
      <c r="N274" s="28">
        <v>0</v>
      </c>
      <c r="O274" s="9">
        <f t="shared" si="41"/>
        <v>0</v>
      </c>
    </row>
    <row r="275" spans="1:15" ht="15.75" customHeight="1" hidden="1">
      <c r="A275" s="27"/>
      <c r="B275" s="22"/>
      <c r="C275" s="11"/>
      <c r="D275" s="11"/>
      <c r="E275" s="11"/>
      <c r="F275" s="11"/>
      <c r="G275" s="11"/>
      <c r="H275" s="11"/>
      <c r="I275" s="11">
        <v>0</v>
      </c>
      <c r="J275" s="11">
        <v>0</v>
      </c>
      <c r="K275" s="11"/>
      <c r="L275" s="11">
        <v>0</v>
      </c>
      <c r="M275" s="28">
        <f t="shared" si="43"/>
        <v>0</v>
      </c>
      <c r="N275" s="28">
        <v>0</v>
      </c>
      <c r="O275" s="9">
        <f t="shared" si="41"/>
        <v>0</v>
      </c>
    </row>
    <row r="276" spans="1:15" ht="16.5" customHeight="1" hidden="1">
      <c r="A276" s="27"/>
      <c r="B276" s="22"/>
      <c r="C276" s="11"/>
      <c r="D276" s="11"/>
      <c r="E276" s="11"/>
      <c r="F276" s="11"/>
      <c r="G276" s="11"/>
      <c r="H276" s="11"/>
      <c r="I276" s="11">
        <v>0</v>
      </c>
      <c r="J276" s="11">
        <v>0</v>
      </c>
      <c r="K276" s="11"/>
      <c r="L276" s="11">
        <v>0</v>
      </c>
      <c r="M276" s="28">
        <f t="shared" si="43"/>
        <v>0</v>
      </c>
      <c r="N276" s="28">
        <v>0</v>
      </c>
      <c r="O276" s="9">
        <f t="shared" si="41"/>
        <v>0</v>
      </c>
    </row>
    <row r="277" spans="1:15" ht="16.5" customHeight="1" hidden="1">
      <c r="A277" s="27"/>
      <c r="B277" s="22" t="s">
        <v>631</v>
      </c>
      <c r="C277" s="11" t="s">
        <v>633</v>
      </c>
      <c r="D277" s="11"/>
      <c r="E277" s="11"/>
      <c r="F277" s="11"/>
      <c r="G277" s="11"/>
      <c r="H277" s="11">
        <v>1750</v>
      </c>
      <c r="I277" s="11">
        <v>0</v>
      </c>
      <c r="J277" s="11">
        <v>0</v>
      </c>
      <c r="K277" s="11">
        <v>0</v>
      </c>
      <c r="L277" s="11">
        <v>0</v>
      </c>
      <c r="M277" s="28">
        <f t="shared" si="43"/>
        <v>0</v>
      </c>
      <c r="N277" s="28">
        <v>0</v>
      </c>
      <c r="O277" s="9">
        <f t="shared" si="41"/>
        <v>0</v>
      </c>
    </row>
    <row r="278" spans="1:15" ht="24.75" customHeight="1">
      <c r="A278" s="27"/>
      <c r="B278" s="22" t="s">
        <v>176</v>
      </c>
      <c r="C278" s="14" t="s">
        <v>195</v>
      </c>
      <c r="D278" s="11">
        <v>0</v>
      </c>
      <c r="E278" s="11">
        <v>257318</v>
      </c>
      <c r="F278" s="11">
        <v>0</v>
      </c>
      <c r="G278" s="11">
        <v>74165</v>
      </c>
      <c r="H278" s="11">
        <f>H279+H280</f>
        <v>484610</v>
      </c>
      <c r="I278" s="11">
        <f>I279+I280</f>
        <v>0</v>
      </c>
      <c r="J278" s="11">
        <f>J279+J280</f>
        <v>0</v>
      </c>
      <c r="K278" s="11">
        <f>K279+K280+K281</f>
        <v>339218</v>
      </c>
      <c r="L278" s="11">
        <f>L279+L280+L281</f>
        <v>0</v>
      </c>
      <c r="M278" s="11">
        <f>M279+M280+M281</f>
        <v>339218</v>
      </c>
      <c r="N278" s="11">
        <f>N279+N280+N281</f>
        <v>0</v>
      </c>
      <c r="O278" s="9">
        <f t="shared" si="41"/>
        <v>0.011499026736327004</v>
      </c>
    </row>
    <row r="279" spans="1:15" ht="13.5" customHeight="1">
      <c r="A279" s="27"/>
      <c r="B279" s="22"/>
      <c r="C279" s="14" t="s">
        <v>187</v>
      </c>
      <c r="D279" s="11"/>
      <c r="E279" s="11"/>
      <c r="F279" s="11"/>
      <c r="G279" s="11"/>
      <c r="H279" s="11">
        <v>410946</v>
      </c>
      <c r="I279" s="11">
        <v>0</v>
      </c>
      <c r="J279" s="11">
        <v>0</v>
      </c>
      <c r="K279" s="11">
        <v>227897</v>
      </c>
      <c r="L279" s="11">
        <v>0</v>
      </c>
      <c r="M279" s="28">
        <f t="shared" si="43"/>
        <v>227897</v>
      </c>
      <c r="N279" s="28">
        <v>0</v>
      </c>
      <c r="O279" s="9">
        <f t="shared" si="41"/>
        <v>0.007725396930966856</v>
      </c>
    </row>
    <row r="280" spans="1:15" ht="14.25" customHeight="1">
      <c r="A280" s="27"/>
      <c r="B280" s="22"/>
      <c r="C280" s="14" t="s">
        <v>189</v>
      </c>
      <c r="D280" s="11"/>
      <c r="E280" s="11"/>
      <c r="F280" s="11"/>
      <c r="G280" s="11"/>
      <c r="H280" s="11">
        <v>73664</v>
      </c>
      <c r="I280" s="11">
        <v>0</v>
      </c>
      <c r="J280" s="11">
        <v>0</v>
      </c>
      <c r="K280" s="11">
        <v>98014</v>
      </c>
      <c r="L280" s="11">
        <v>0</v>
      </c>
      <c r="M280" s="28">
        <f t="shared" si="43"/>
        <v>98014</v>
      </c>
      <c r="N280" s="28">
        <v>0</v>
      </c>
      <c r="O280" s="9">
        <f t="shared" si="41"/>
        <v>0.003322540686326654</v>
      </c>
    </row>
    <row r="281" spans="1:15" ht="17.25" customHeight="1">
      <c r="A281" s="27"/>
      <c r="B281" s="22"/>
      <c r="C281" s="11" t="s">
        <v>188</v>
      </c>
      <c r="D281" s="11"/>
      <c r="E281" s="11"/>
      <c r="F281" s="11"/>
      <c r="G281" s="11"/>
      <c r="H281" s="11"/>
      <c r="I281" s="11"/>
      <c r="J281" s="11"/>
      <c r="K281" s="11">
        <v>13307</v>
      </c>
      <c r="L281" s="11">
        <v>0</v>
      </c>
      <c r="M281" s="28">
        <f t="shared" si="43"/>
        <v>13307</v>
      </c>
      <c r="N281" s="28">
        <v>0</v>
      </c>
      <c r="O281" s="9">
        <f t="shared" si="41"/>
        <v>0.00045108911903349303</v>
      </c>
    </row>
    <row r="282" spans="1:15" ht="39.75" customHeight="1" hidden="1">
      <c r="A282" s="27"/>
      <c r="B282" s="22"/>
      <c r="C282" s="14" t="s">
        <v>177</v>
      </c>
      <c r="D282" s="11"/>
      <c r="E282" s="11"/>
      <c r="F282" s="11"/>
      <c r="G282" s="11"/>
      <c r="H282" s="11"/>
      <c r="I282" s="11"/>
      <c r="J282" s="11"/>
      <c r="K282" s="11">
        <v>0</v>
      </c>
      <c r="L282" s="11">
        <v>0</v>
      </c>
      <c r="M282" s="28">
        <f t="shared" si="43"/>
        <v>0</v>
      </c>
      <c r="N282" s="28">
        <v>0</v>
      </c>
      <c r="O282" s="9">
        <f t="shared" si="41"/>
        <v>0</v>
      </c>
    </row>
    <row r="283" spans="1:15" ht="18" customHeight="1">
      <c r="A283" s="27"/>
      <c r="B283" s="22" t="s">
        <v>88</v>
      </c>
      <c r="C283" s="14" t="s">
        <v>190</v>
      </c>
      <c r="D283" s="11"/>
      <c r="E283" s="11">
        <v>654061</v>
      </c>
      <c r="F283" s="11">
        <v>0</v>
      </c>
      <c r="G283" s="11">
        <v>0</v>
      </c>
      <c r="H283" s="11">
        <v>1008000</v>
      </c>
      <c r="I283" s="11">
        <v>0</v>
      </c>
      <c r="J283" s="11">
        <v>0</v>
      </c>
      <c r="K283" s="11">
        <v>1774584</v>
      </c>
      <c r="L283" s="11">
        <v>0</v>
      </c>
      <c r="M283" s="28">
        <f t="shared" si="43"/>
        <v>1774584</v>
      </c>
      <c r="N283" s="28">
        <v>0</v>
      </c>
      <c r="O283" s="9">
        <f t="shared" si="41"/>
        <v>0.06015597303756911</v>
      </c>
    </row>
    <row r="284" spans="1:15" ht="22.5" customHeight="1" hidden="1">
      <c r="A284" s="30" t="s">
        <v>196</v>
      </c>
      <c r="B284" s="31"/>
      <c r="C284" s="10" t="s">
        <v>197</v>
      </c>
      <c r="D284" s="10" t="e">
        <f>D285+D286+D287+D290+D299+D301+#REF!</f>
        <v>#REF!</v>
      </c>
      <c r="E284" s="10">
        <f>E285+E286+E287+E288+E289+E290+E291+E292+E293+E294+E295+E296+E297+E298+E299+E301</f>
        <v>2163559</v>
      </c>
      <c r="F284" s="10">
        <f>F285+F286+F287+F288+F289+F290+F291+F292+F293+F294+F295+F296+F297+F298+F299+F301</f>
        <v>0</v>
      </c>
      <c r="G284" s="10">
        <f>G285+G286+G287+G288+G289+G290+G291+G292+G293+G294+G295+G296+G297+G298+G299+G301</f>
        <v>0</v>
      </c>
      <c r="H284" s="10"/>
      <c r="I284" s="11"/>
      <c r="J284" s="11"/>
      <c r="K284" s="11"/>
      <c r="L284" s="11">
        <v>0</v>
      </c>
      <c r="M284" s="28">
        <f t="shared" si="43"/>
        <v>0</v>
      </c>
      <c r="N284" s="28">
        <v>0</v>
      </c>
      <c r="O284" s="9">
        <f t="shared" si="41"/>
        <v>0</v>
      </c>
    </row>
    <row r="285" spans="1:15" ht="21.75" customHeight="1" hidden="1">
      <c r="A285" s="30"/>
      <c r="B285" s="22" t="s">
        <v>48</v>
      </c>
      <c r="C285" s="14" t="s">
        <v>49</v>
      </c>
      <c r="D285" s="11">
        <v>2340654</v>
      </c>
      <c r="E285" s="11">
        <v>1129188</v>
      </c>
      <c r="F285" s="11">
        <v>0</v>
      </c>
      <c r="G285" s="11">
        <v>0</v>
      </c>
      <c r="H285" s="11"/>
      <c r="I285" s="11"/>
      <c r="J285" s="11"/>
      <c r="K285" s="11"/>
      <c r="L285" s="11">
        <v>0</v>
      </c>
      <c r="M285" s="28">
        <f t="shared" si="43"/>
        <v>0</v>
      </c>
      <c r="N285" s="28">
        <v>0</v>
      </c>
      <c r="O285" s="9">
        <f t="shared" si="41"/>
        <v>0</v>
      </c>
    </row>
    <row r="286" spans="1:15" ht="21.75" customHeight="1" hidden="1">
      <c r="A286" s="30"/>
      <c r="B286" s="22" t="s">
        <v>52</v>
      </c>
      <c r="C286" s="14" t="s">
        <v>53</v>
      </c>
      <c r="D286" s="11">
        <v>166280</v>
      </c>
      <c r="E286" s="11">
        <v>211716</v>
      </c>
      <c r="F286" s="11">
        <v>0</v>
      </c>
      <c r="G286" s="11">
        <v>0</v>
      </c>
      <c r="H286" s="11"/>
      <c r="I286" s="11"/>
      <c r="J286" s="11"/>
      <c r="K286" s="11"/>
      <c r="L286" s="11">
        <v>0</v>
      </c>
      <c r="M286" s="28">
        <f t="shared" si="43"/>
        <v>0</v>
      </c>
      <c r="N286" s="28">
        <v>0</v>
      </c>
      <c r="O286" s="9">
        <f t="shared" si="41"/>
        <v>0</v>
      </c>
    </row>
    <row r="287" spans="1:15" ht="20.25" customHeight="1" hidden="1">
      <c r="A287" s="30"/>
      <c r="B287" s="29" t="s">
        <v>106</v>
      </c>
      <c r="C287" s="14" t="s">
        <v>122</v>
      </c>
      <c r="D287" s="11">
        <v>456367</v>
      </c>
      <c r="E287" s="11">
        <v>235109</v>
      </c>
      <c r="F287" s="11">
        <v>0</v>
      </c>
      <c r="G287" s="11">
        <v>0</v>
      </c>
      <c r="H287" s="11"/>
      <c r="I287" s="11"/>
      <c r="J287" s="11"/>
      <c r="K287" s="11"/>
      <c r="L287" s="11">
        <v>0</v>
      </c>
      <c r="M287" s="28">
        <f t="shared" si="43"/>
        <v>0</v>
      </c>
      <c r="N287" s="28">
        <v>0</v>
      </c>
      <c r="O287" s="9">
        <f t="shared" si="41"/>
        <v>0</v>
      </c>
    </row>
    <row r="288" spans="1:15" ht="22.5" customHeight="1" hidden="1">
      <c r="A288" s="30"/>
      <c r="B288" s="29" t="s">
        <v>56</v>
      </c>
      <c r="C288" s="14" t="s">
        <v>57</v>
      </c>
      <c r="D288" s="11"/>
      <c r="E288" s="11">
        <v>33406</v>
      </c>
      <c r="F288" s="11">
        <v>0</v>
      </c>
      <c r="G288" s="11">
        <v>0</v>
      </c>
      <c r="H288" s="11"/>
      <c r="I288" s="24"/>
      <c r="J288" s="24"/>
      <c r="K288" s="24"/>
      <c r="L288" s="11">
        <v>0</v>
      </c>
      <c r="M288" s="28">
        <f t="shared" si="43"/>
        <v>0</v>
      </c>
      <c r="N288" s="28">
        <v>0</v>
      </c>
      <c r="O288" s="9">
        <f t="shared" si="41"/>
        <v>0</v>
      </c>
    </row>
    <row r="289" spans="1:15" ht="20.25" customHeight="1" hidden="1">
      <c r="A289" s="30"/>
      <c r="B289" s="29"/>
      <c r="C289" s="14" t="s">
        <v>97</v>
      </c>
      <c r="D289" s="11"/>
      <c r="E289" s="11">
        <v>1420</v>
      </c>
      <c r="F289" s="11">
        <v>0</v>
      </c>
      <c r="G289" s="11">
        <v>0</v>
      </c>
      <c r="H289" s="11"/>
      <c r="I289" s="11"/>
      <c r="J289" s="11"/>
      <c r="K289" s="11"/>
      <c r="L289" s="11">
        <v>0</v>
      </c>
      <c r="M289" s="28">
        <f t="shared" si="43"/>
        <v>0</v>
      </c>
      <c r="N289" s="28">
        <v>0</v>
      </c>
      <c r="O289" s="9">
        <f t="shared" si="41"/>
        <v>0</v>
      </c>
    </row>
    <row r="290" spans="1:15" ht="18.75" customHeight="1" hidden="1">
      <c r="A290" s="30"/>
      <c r="B290" s="22" t="s">
        <v>44</v>
      </c>
      <c r="C290" s="11" t="s">
        <v>84</v>
      </c>
      <c r="D290" s="11">
        <v>637711</v>
      </c>
      <c r="E290" s="11">
        <v>1892</v>
      </c>
      <c r="F290" s="11">
        <v>0</v>
      </c>
      <c r="G290" s="11">
        <v>0</v>
      </c>
      <c r="H290" s="11"/>
      <c r="I290" s="11"/>
      <c r="J290" s="11"/>
      <c r="K290" s="11"/>
      <c r="L290" s="11">
        <v>0</v>
      </c>
      <c r="M290" s="28">
        <f t="shared" si="43"/>
        <v>0</v>
      </c>
      <c r="N290" s="28">
        <v>0</v>
      </c>
      <c r="O290" s="9">
        <f aca="true" t="shared" si="44" ref="O290:O353">K290/$K$549</f>
        <v>0</v>
      </c>
    </row>
    <row r="291" spans="1:15" ht="18" customHeight="1" hidden="1">
      <c r="A291" s="30"/>
      <c r="B291" s="22" t="s">
        <v>58</v>
      </c>
      <c r="C291" s="11" t="s">
        <v>85</v>
      </c>
      <c r="D291" s="11"/>
      <c r="E291" s="11">
        <v>196582</v>
      </c>
      <c r="F291" s="11">
        <v>0</v>
      </c>
      <c r="G291" s="11">
        <v>0</v>
      </c>
      <c r="H291" s="11"/>
      <c r="I291" s="11"/>
      <c r="J291" s="11"/>
      <c r="K291" s="11"/>
      <c r="L291" s="11">
        <v>0</v>
      </c>
      <c r="M291" s="28">
        <f t="shared" si="43"/>
        <v>0</v>
      </c>
      <c r="N291" s="28">
        <v>0</v>
      </c>
      <c r="O291" s="9">
        <f t="shared" si="44"/>
        <v>0</v>
      </c>
    </row>
    <row r="292" spans="1:15" ht="18.75" customHeight="1" hidden="1">
      <c r="A292" s="30"/>
      <c r="B292" s="22" t="s">
        <v>173</v>
      </c>
      <c r="C292" s="11" t="s">
        <v>198</v>
      </c>
      <c r="D292" s="11"/>
      <c r="E292" s="11">
        <v>2294</v>
      </c>
      <c r="F292" s="11">
        <v>0</v>
      </c>
      <c r="G292" s="11">
        <v>0</v>
      </c>
      <c r="H292" s="11"/>
      <c r="I292" s="10"/>
      <c r="J292" s="10"/>
      <c r="K292" s="10"/>
      <c r="L292" s="11">
        <v>0</v>
      </c>
      <c r="M292" s="28">
        <f t="shared" si="43"/>
        <v>0</v>
      </c>
      <c r="N292" s="28">
        <v>0</v>
      </c>
      <c r="O292" s="9">
        <f t="shared" si="44"/>
        <v>0</v>
      </c>
    </row>
    <row r="293" spans="1:15" ht="18" customHeight="1" hidden="1">
      <c r="A293" s="30"/>
      <c r="B293" s="22" t="s">
        <v>60</v>
      </c>
      <c r="C293" s="11" t="s">
        <v>61</v>
      </c>
      <c r="D293" s="11"/>
      <c r="E293" s="11">
        <v>41877</v>
      </c>
      <c r="F293" s="11">
        <v>0</v>
      </c>
      <c r="G293" s="11">
        <v>0</v>
      </c>
      <c r="H293" s="11"/>
      <c r="I293" s="11"/>
      <c r="J293" s="11"/>
      <c r="K293" s="11"/>
      <c r="L293" s="11">
        <v>0</v>
      </c>
      <c r="M293" s="28">
        <f t="shared" si="43"/>
        <v>0</v>
      </c>
      <c r="N293" s="28">
        <v>0</v>
      </c>
      <c r="O293" s="9">
        <f t="shared" si="44"/>
        <v>0</v>
      </c>
    </row>
    <row r="294" spans="1:15" ht="18.75" customHeight="1" hidden="1">
      <c r="A294" s="30"/>
      <c r="B294" s="22" t="s">
        <v>62</v>
      </c>
      <c r="C294" s="11" t="s">
        <v>63</v>
      </c>
      <c r="D294" s="11"/>
      <c r="E294" s="11">
        <v>2075</v>
      </c>
      <c r="F294" s="11">
        <v>0</v>
      </c>
      <c r="G294" s="11">
        <v>0</v>
      </c>
      <c r="H294" s="11"/>
      <c r="I294" s="11"/>
      <c r="J294" s="11"/>
      <c r="K294" s="11"/>
      <c r="L294" s="11">
        <v>0</v>
      </c>
      <c r="M294" s="28">
        <f t="shared" si="43"/>
        <v>0</v>
      </c>
      <c r="N294" s="28">
        <v>0</v>
      </c>
      <c r="O294" s="9">
        <f t="shared" si="44"/>
        <v>0</v>
      </c>
    </row>
    <row r="295" spans="1:15" ht="18.75" customHeight="1" hidden="1">
      <c r="A295" s="30"/>
      <c r="B295" s="22" t="s">
        <v>64</v>
      </c>
      <c r="C295" s="11" t="s">
        <v>65</v>
      </c>
      <c r="D295" s="11"/>
      <c r="E295" s="11">
        <v>31387</v>
      </c>
      <c r="F295" s="11">
        <v>0</v>
      </c>
      <c r="G295" s="11">
        <v>0</v>
      </c>
      <c r="H295" s="11"/>
      <c r="I295" s="11"/>
      <c r="J295" s="11"/>
      <c r="K295" s="11"/>
      <c r="L295" s="11">
        <v>0</v>
      </c>
      <c r="M295" s="28">
        <f t="shared" si="43"/>
        <v>0</v>
      </c>
      <c r="N295" s="28">
        <v>0</v>
      </c>
      <c r="O295" s="9">
        <f t="shared" si="44"/>
        <v>0</v>
      </c>
    </row>
    <row r="296" spans="1:15" ht="18.75" customHeight="1" hidden="1">
      <c r="A296" s="30"/>
      <c r="B296" s="22" t="s">
        <v>66</v>
      </c>
      <c r="C296" s="11" t="s">
        <v>199</v>
      </c>
      <c r="D296" s="11"/>
      <c r="E296" s="11">
        <v>3189</v>
      </c>
      <c r="F296" s="11">
        <v>0</v>
      </c>
      <c r="G296" s="11">
        <v>0</v>
      </c>
      <c r="H296" s="11"/>
      <c r="I296" s="11"/>
      <c r="J296" s="11"/>
      <c r="K296" s="11"/>
      <c r="L296" s="11">
        <v>0</v>
      </c>
      <c r="M296" s="28">
        <f t="shared" si="43"/>
        <v>0</v>
      </c>
      <c r="N296" s="28">
        <v>0</v>
      </c>
      <c r="O296" s="9">
        <f t="shared" si="44"/>
        <v>0</v>
      </c>
    </row>
    <row r="297" spans="1:15" ht="18" customHeight="1" hidden="1">
      <c r="A297" s="30"/>
      <c r="B297" s="22" t="s">
        <v>68</v>
      </c>
      <c r="C297" s="11" t="s">
        <v>200</v>
      </c>
      <c r="D297" s="11"/>
      <c r="E297" s="11">
        <v>0</v>
      </c>
      <c r="F297" s="11">
        <v>0</v>
      </c>
      <c r="G297" s="11">
        <v>0</v>
      </c>
      <c r="H297" s="11"/>
      <c r="I297" s="11"/>
      <c r="J297" s="11"/>
      <c r="K297" s="11"/>
      <c r="L297" s="11">
        <v>0</v>
      </c>
      <c r="M297" s="28">
        <f t="shared" si="43"/>
        <v>0</v>
      </c>
      <c r="N297" s="28">
        <v>0</v>
      </c>
      <c r="O297" s="9">
        <f t="shared" si="44"/>
        <v>0</v>
      </c>
    </row>
    <row r="298" spans="1:15" ht="18" customHeight="1" hidden="1">
      <c r="A298" s="30"/>
      <c r="B298" s="22" t="s">
        <v>70</v>
      </c>
      <c r="C298" s="11" t="s">
        <v>201</v>
      </c>
      <c r="D298" s="11"/>
      <c r="E298" s="11">
        <v>86736</v>
      </c>
      <c r="F298" s="11">
        <v>0</v>
      </c>
      <c r="G298" s="11">
        <v>0</v>
      </c>
      <c r="H298" s="11"/>
      <c r="I298" s="11"/>
      <c r="J298" s="11"/>
      <c r="K298" s="11"/>
      <c r="L298" s="11">
        <v>0</v>
      </c>
      <c r="M298" s="28">
        <f t="shared" si="43"/>
        <v>0</v>
      </c>
      <c r="N298" s="28">
        <v>0</v>
      </c>
      <c r="O298" s="9">
        <f t="shared" si="44"/>
        <v>0</v>
      </c>
    </row>
    <row r="299" spans="1:15" ht="18" customHeight="1" hidden="1">
      <c r="A299" s="30"/>
      <c r="B299" s="22" t="s">
        <v>176</v>
      </c>
      <c r="C299" s="14" t="s">
        <v>202</v>
      </c>
      <c r="D299" s="11">
        <f>D300</f>
        <v>496267</v>
      </c>
      <c r="E299" s="24">
        <v>136749</v>
      </c>
      <c r="F299" s="24">
        <f>F300</f>
        <v>0</v>
      </c>
      <c r="G299" s="24">
        <v>0</v>
      </c>
      <c r="H299" s="24"/>
      <c r="I299" s="11"/>
      <c r="J299" s="11"/>
      <c r="K299" s="11"/>
      <c r="L299" s="11">
        <v>0</v>
      </c>
      <c r="M299" s="28">
        <f t="shared" si="43"/>
        <v>0</v>
      </c>
      <c r="N299" s="28">
        <v>0</v>
      </c>
      <c r="O299" s="9">
        <f t="shared" si="44"/>
        <v>0</v>
      </c>
    </row>
    <row r="300" spans="1:15" ht="17.25" customHeight="1" hidden="1">
      <c r="A300" s="30"/>
      <c r="B300" s="22"/>
      <c r="C300" s="11" t="s">
        <v>187</v>
      </c>
      <c r="D300" s="11">
        <v>496267</v>
      </c>
      <c r="E300" s="11">
        <v>136749</v>
      </c>
      <c r="F300" s="11">
        <v>0</v>
      </c>
      <c r="G300" s="11">
        <v>0</v>
      </c>
      <c r="H300" s="11"/>
      <c r="I300" s="11"/>
      <c r="J300" s="11"/>
      <c r="K300" s="11"/>
      <c r="L300" s="11">
        <v>0</v>
      </c>
      <c r="M300" s="28">
        <f t="shared" si="43"/>
        <v>0</v>
      </c>
      <c r="N300" s="28">
        <v>0</v>
      </c>
      <c r="O300" s="9">
        <f t="shared" si="44"/>
        <v>0</v>
      </c>
    </row>
    <row r="301" spans="1:15" ht="13.5" customHeight="1" hidden="1">
      <c r="A301" s="30"/>
      <c r="B301" s="22" t="s">
        <v>88</v>
      </c>
      <c r="C301" s="11" t="s">
        <v>190</v>
      </c>
      <c r="D301" s="11">
        <v>55041</v>
      </c>
      <c r="E301" s="11">
        <v>49939</v>
      </c>
      <c r="F301" s="11">
        <v>0</v>
      </c>
      <c r="G301" s="11">
        <v>0</v>
      </c>
      <c r="H301" s="11"/>
      <c r="I301" s="11"/>
      <c r="J301" s="11"/>
      <c r="K301" s="11"/>
      <c r="L301" s="11">
        <v>0</v>
      </c>
      <c r="M301" s="28">
        <f t="shared" si="43"/>
        <v>0</v>
      </c>
      <c r="N301" s="28">
        <v>0</v>
      </c>
      <c r="O301" s="9">
        <f t="shared" si="44"/>
        <v>0</v>
      </c>
    </row>
    <row r="302" spans="1:15" ht="14.25" customHeight="1" hidden="1">
      <c r="A302" s="30"/>
      <c r="B302" s="22" t="s">
        <v>203</v>
      </c>
      <c r="C302" s="14" t="s">
        <v>204</v>
      </c>
      <c r="D302" s="11"/>
      <c r="E302" s="11">
        <v>0</v>
      </c>
      <c r="F302" s="11">
        <v>0</v>
      </c>
      <c r="G302" s="11">
        <v>0</v>
      </c>
      <c r="H302" s="11"/>
      <c r="I302" s="11"/>
      <c r="J302" s="11"/>
      <c r="K302" s="11"/>
      <c r="L302" s="11">
        <v>0</v>
      </c>
      <c r="M302" s="28">
        <f t="shared" si="43"/>
        <v>0</v>
      </c>
      <c r="N302" s="28">
        <v>0</v>
      </c>
      <c r="O302" s="9">
        <f t="shared" si="44"/>
        <v>0</v>
      </c>
    </row>
    <row r="303" spans="1:15" ht="17.25" customHeight="1" hidden="1">
      <c r="A303" s="30"/>
      <c r="B303" s="22" t="s">
        <v>154</v>
      </c>
      <c r="C303" s="14" t="s">
        <v>652</v>
      </c>
      <c r="D303" s="11"/>
      <c r="E303" s="11"/>
      <c r="F303" s="11"/>
      <c r="G303" s="11"/>
      <c r="H303" s="11">
        <v>1240</v>
      </c>
      <c r="I303" s="11">
        <v>0</v>
      </c>
      <c r="J303" s="11">
        <v>0</v>
      </c>
      <c r="K303" s="11">
        <v>0</v>
      </c>
      <c r="L303" s="11">
        <v>0</v>
      </c>
      <c r="M303" s="28">
        <f t="shared" si="43"/>
        <v>0</v>
      </c>
      <c r="N303" s="28">
        <v>0</v>
      </c>
      <c r="O303" s="9">
        <f t="shared" si="44"/>
        <v>0</v>
      </c>
    </row>
    <row r="304" spans="1:15" ht="17.25" customHeight="1" hidden="1">
      <c r="A304" s="30"/>
      <c r="B304" s="22" t="s">
        <v>64</v>
      </c>
      <c r="C304" s="14" t="s">
        <v>144</v>
      </c>
      <c r="D304" s="11"/>
      <c r="E304" s="11"/>
      <c r="F304" s="11"/>
      <c r="G304" s="11"/>
      <c r="H304" s="11">
        <v>96854</v>
      </c>
      <c r="I304" s="11">
        <v>0</v>
      </c>
      <c r="J304" s="11">
        <v>0</v>
      </c>
      <c r="K304" s="11">
        <v>0</v>
      </c>
      <c r="L304" s="11">
        <v>0</v>
      </c>
      <c r="M304" s="28">
        <f t="shared" si="43"/>
        <v>0</v>
      </c>
      <c r="N304" s="28">
        <v>0</v>
      </c>
      <c r="O304" s="9">
        <f t="shared" si="44"/>
        <v>0</v>
      </c>
    </row>
    <row r="305" spans="1:15" ht="26.25" customHeight="1" hidden="1">
      <c r="A305" s="21" t="s">
        <v>205</v>
      </c>
      <c r="B305" s="22"/>
      <c r="C305" s="7" t="s">
        <v>206</v>
      </c>
      <c r="D305" s="10" t="e">
        <f>D306+#REF!+D307+D309+D314</f>
        <v>#REF!</v>
      </c>
      <c r="E305" s="10" t="e">
        <f>E306+#REF!+E307+E308+E309+E314</f>
        <v>#REF!</v>
      </c>
      <c r="F305" s="10" t="e">
        <f>F306+#REF!+F307+F308+F309+F314+F315+F316+F317</f>
        <v>#REF!</v>
      </c>
      <c r="G305" s="10" t="e">
        <f>G306+#REF!+G307+G308+G309+G314</f>
        <v>#REF!</v>
      </c>
      <c r="H305" s="10" t="e">
        <f>H306+#REF!+H307+H308+H309+H314+H310</f>
        <v>#REF!</v>
      </c>
      <c r="I305" s="10" t="e">
        <f>I306+#REF!+I307+I308+I310+I314</f>
        <v>#REF!</v>
      </c>
      <c r="J305" s="10" t="e">
        <f>J306+#REF!+J307+J308+J310+J314</f>
        <v>#REF!</v>
      </c>
      <c r="K305" s="10">
        <f>K306+K307+K308+K310+K314</f>
        <v>0</v>
      </c>
      <c r="L305" s="10">
        <f>L306+L307+L308+L310+L314</f>
        <v>0</v>
      </c>
      <c r="M305" s="10">
        <f>M306+M307+M308+M310+M314</f>
        <v>0</v>
      </c>
      <c r="N305" s="10">
        <f>N306+N307+N308+N310+N314</f>
        <v>0</v>
      </c>
      <c r="O305" s="9">
        <f t="shared" si="44"/>
        <v>0</v>
      </c>
    </row>
    <row r="306" spans="1:15" ht="21.75" customHeight="1" hidden="1">
      <c r="A306" s="501"/>
      <c r="B306" s="22" t="s">
        <v>48</v>
      </c>
      <c r="C306" s="14" t="s">
        <v>49</v>
      </c>
      <c r="D306" s="11">
        <v>0</v>
      </c>
      <c r="E306" s="11">
        <v>13764</v>
      </c>
      <c r="F306" s="11">
        <v>0</v>
      </c>
      <c r="G306" s="11">
        <v>0</v>
      </c>
      <c r="H306" s="11">
        <v>45837</v>
      </c>
      <c r="I306" s="11">
        <v>0</v>
      </c>
      <c r="J306" s="11">
        <v>0</v>
      </c>
      <c r="K306" s="11">
        <v>0</v>
      </c>
      <c r="L306" s="11">
        <v>0</v>
      </c>
      <c r="M306" s="11">
        <v>0</v>
      </c>
      <c r="N306" s="11">
        <v>0</v>
      </c>
      <c r="O306" s="9">
        <f t="shared" si="44"/>
        <v>0</v>
      </c>
    </row>
    <row r="307" spans="1:15" ht="16.5" customHeight="1" hidden="1">
      <c r="A307" s="501"/>
      <c r="B307" s="29" t="s">
        <v>106</v>
      </c>
      <c r="C307" s="14" t="s">
        <v>122</v>
      </c>
      <c r="D307" s="11">
        <v>0</v>
      </c>
      <c r="E307" s="11">
        <v>2430</v>
      </c>
      <c r="F307" s="11">
        <v>0</v>
      </c>
      <c r="G307" s="11">
        <v>0</v>
      </c>
      <c r="H307" s="11">
        <v>8196</v>
      </c>
      <c r="I307" s="24">
        <v>0</v>
      </c>
      <c r="J307" s="24">
        <v>0</v>
      </c>
      <c r="K307" s="11">
        <v>0</v>
      </c>
      <c r="L307" s="11">
        <v>0</v>
      </c>
      <c r="M307" s="11">
        <v>0</v>
      </c>
      <c r="N307" s="11">
        <v>0</v>
      </c>
      <c r="O307" s="9">
        <f t="shared" si="44"/>
        <v>0</v>
      </c>
    </row>
    <row r="308" spans="1:15" ht="21" customHeight="1" hidden="1">
      <c r="A308" s="501"/>
      <c r="B308" s="29" t="s">
        <v>56</v>
      </c>
      <c r="C308" s="14" t="s">
        <v>57</v>
      </c>
      <c r="D308" s="11"/>
      <c r="E308" s="11">
        <v>376</v>
      </c>
      <c r="F308" s="11">
        <v>0</v>
      </c>
      <c r="G308" s="11">
        <v>0</v>
      </c>
      <c r="H308" s="11">
        <v>1123</v>
      </c>
      <c r="I308" s="24">
        <v>0</v>
      </c>
      <c r="J308" s="24">
        <v>0</v>
      </c>
      <c r="K308" s="11">
        <v>0</v>
      </c>
      <c r="L308" s="11">
        <v>0</v>
      </c>
      <c r="M308" s="11">
        <v>0</v>
      </c>
      <c r="N308" s="11">
        <v>0</v>
      </c>
      <c r="O308" s="9">
        <f t="shared" si="44"/>
        <v>0</v>
      </c>
    </row>
    <row r="309" spans="1:15" ht="20.25" customHeight="1" hidden="1">
      <c r="A309" s="501"/>
      <c r="B309" s="22"/>
      <c r="C309" s="11" t="s">
        <v>97</v>
      </c>
      <c r="D309" s="11">
        <v>0</v>
      </c>
      <c r="E309" s="11">
        <v>1100</v>
      </c>
      <c r="F309" s="11">
        <v>0</v>
      </c>
      <c r="G309" s="11">
        <v>0</v>
      </c>
      <c r="H309" s="11"/>
      <c r="I309" s="24">
        <v>0</v>
      </c>
      <c r="J309" s="24">
        <v>0</v>
      </c>
      <c r="K309" s="11">
        <v>0</v>
      </c>
      <c r="L309" s="11">
        <v>0</v>
      </c>
      <c r="M309" s="11">
        <v>0</v>
      </c>
      <c r="N309" s="11">
        <v>0</v>
      </c>
      <c r="O309" s="9">
        <f t="shared" si="44"/>
        <v>0</v>
      </c>
    </row>
    <row r="310" spans="1:15" ht="16.5" customHeight="1" hidden="1">
      <c r="A310" s="27"/>
      <c r="B310" s="22" t="s">
        <v>70</v>
      </c>
      <c r="C310" s="11" t="s">
        <v>71</v>
      </c>
      <c r="D310" s="11"/>
      <c r="E310" s="11"/>
      <c r="F310" s="11"/>
      <c r="G310" s="11"/>
      <c r="H310" s="11">
        <v>1963</v>
      </c>
      <c r="I310" s="24">
        <v>0</v>
      </c>
      <c r="J310" s="24">
        <v>0</v>
      </c>
      <c r="K310" s="11">
        <v>0</v>
      </c>
      <c r="L310" s="11">
        <v>0</v>
      </c>
      <c r="M310" s="11">
        <v>0</v>
      </c>
      <c r="N310" s="11">
        <v>0</v>
      </c>
      <c r="O310" s="9">
        <f t="shared" si="44"/>
        <v>0</v>
      </c>
    </row>
    <row r="311" spans="1:15" ht="18.75" customHeight="1" hidden="1">
      <c r="A311" s="27"/>
      <c r="B311" s="22"/>
      <c r="C311" s="11"/>
      <c r="D311" s="11"/>
      <c r="E311" s="11"/>
      <c r="F311" s="11"/>
      <c r="G311" s="11"/>
      <c r="H311" s="11"/>
      <c r="I311" s="24">
        <v>337</v>
      </c>
      <c r="J311" s="24">
        <v>0</v>
      </c>
      <c r="K311" s="11">
        <v>0</v>
      </c>
      <c r="L311" s="11">
        <v>0</v>
      </c>
      <c r="M311" s="11">
        <v>0</v>
      </c>
      <c r="N311" s="11">
        <v>0</v>
      </c>
      <c r="O311" s="9">
        <f t="shared" si="44"/>
        <v>0</v>
      </c>
    </row>
    <row r="312" spans="1:15" ht="16.5" customHeight="1" hidden="1">
      <c r="A312" s="27"/>
      <c r="B312" s="22"/>
      <c r="C312" s="11"/>
      <c r="D312" s="11"/>
      <c r="E312" s="11"/>
      <c r="F312" s="11"/>
      <c r="G312" s="11"/>
      <c r="H312" s="11"/>
      <c r="I312" s="24">
        <v>0</v>
      </c>
      <c r="J312" s="24">
        <v>0</v>
      </c>
      <c r="K312" s="11">
        <v>0</v>
      </c>
      <c r="L312" s="11">
        <v>0</v>
      </c>
      <c r="M312" s="11">
        <v>0</v>
      </c>
      <c r="N312" s="11">
        <v>0</v>
      </c>
      <c r="O312" s="9">
        <f t="shared" si="44"/>
        <v>0</v>
      </c>
    </row>
    <row r="313" spans="1:15" ht="19.5" customHeight="1" hidden="1">
      <c r="A313" s="27"/>
      <c r="B313" s="22"/>
      <c r="C313" s="11"/>
      <c r="D313" s="11"/>
      <c r="E313" s="11"/>
      <c r="F313" s="11"/>
      <c r="G313" s="11"/>
      <c r="H313" s="11"/>
      <c r="I313" s="24">
        <v>0</v>
      </c>
      <c r="J313" s="24">
        <v>0</v>
      </c>
      <c r="K313" s="11">
        <v>0</v>
      </c>
      <c r="L313" s="11">
        <v>0</v>
      </c>
      <c r="M313" s="11">
        <v>0</v>
      </c>
      <c r="N313" s="11">
        <v>0</v>
      </c>
      <c r="O313" s="9">
        <f t="shared" si="44"/>
        <v>0</v>
      </c>
    </row>
    <row r="314" spans="1:15" ht="25.5" customHeight="1" hidden="1">
      <c r="A314" s="27"/>
      <c r="B314" s="22" t="s">
        <v>176</v>
      </c>
      <c r="C314" s="14" t="s">
        <v>207</v>
      </c>
      <c r="D314" s="11" t="e">
        <f>D315+#REF!+#REF!</f>
        <v>#REF!</v>
      </c>
      <c r="E314" s="11">
        <f>E315+E316+E317</f>
        <v>121567</v>
      </c>
      <c r="F314" s="11">
        <f>F315+F316+F317</f>
        <v>0</v>
      </c>
      <c r="G314" s="11">
        <f>G315+G316+G317</f>
        <v>29180</v>
      </c>
      <c r="H314" s="11">
        <f>H315+H316+H317</f>
        <v>138746</v>
      </c>
      <c r="I314" s="24">
        <v>0</v>
      </c>
      <c r="J314" s="24">
        <f>J315+J316</f>
        <v>0</v>
      </c>
      <c r="K314" s="11">
        <v>0</v>
      </c>
      <c r="L314" s="11">
        <v>0</v>
      </c>
      <c r="M314" s="11">
        <v>0</v>
      </c>
      <c r="N314" s="11">
        <v>0</v>
      </c>
      <c r="O314" s="9">
        <f t="shared" si="44"/>
        <v>0</v>
      </c>
    </row>
    <row r="315" spans="1:15" ht="18.75" customHeight="1" hidden="1">
      <c r="A315" s="27"/>
      <c r="B315" s="22"/>
      <c r="C315" s="32" t="s">
        <v>187</v>
      </c>
      <c r="D315" s="11">
        <v>0</v>
      </c>
      <c r="E315" s="11">
        <v>49189</v>
      </c>
      <c r="F315" s="11">
        <v>0</v>
      </c>
      <c r="G315" s="11">
        <v>4159</v>
      </c>
      <c r="H315" s="11">
        <v>97563</v>
      </c>
      <c r="I315" s="24">
        <v>0</v>
      </c>
      <c r="J315" s="24">
        <v>0</v>
      </c>
      <c r="K315" s="11">
        <v>0</v>
      </c>
      <c r="L315" s="11">
        <v>0</v>
      </c>
      <c r="M315" s="11">
        <v>0</v>
      </c>
      <c r="N315" s="11">
        <v>0</v>
      </c>
      <c r="O315" s="9">
        <f t="shared" si="44"/>
        <v>0</v>
      </c>
    </row>
    <row r="316" spans="1:15" ht="18" customHeight="1" hidden="1">
      <c r="A316" s="27"/>
      <c r="B316" s="22"/>
      <c r="C316" s="32" t="s">
        <v>188</v>
      </c>
      <c r="D316" s="11"/>
      <c r="E316" s="11">
        <v>38942</v>
      </c>
      <c r="F316" s="11">
        <v>0</v>
      </c>
      <c r="G316" s="11">
        <v>3187</v>
      </c>
      <c r="H316" s="11">
        <v>41183</v>
      </c>
      <c r="I316" s="24">
        <v>0</v>
      </c>
      <c r="J316" s="24">
        <v>0</v>
      </c>
      <c r="K316" s="11">
        <v>0</v>
      </c>
      <c r="L316" s="11">
        <v>0</v>
      </c>
      <c r="M316" s="11">
        <v>0</v>
      </c>
      <c r="N316" s="11">
        <v>0</v>
      </c>
      <c r="O316" s="9">
        <f t="shared" si="44"/>
        <v>0</v>
      </c>
    </row>
    <row r="317" spans="1:15" ht="15" customHeight="1" hidden="1">
      <c r="A317" s="27"/>
      <c r="B317" s="22"/>
      <c r="C317" s="32" t="s">
        <v>208</v>
      </c>
      <c r="D317" s="11"/>
      <c r="E317" s="11">
        <v>33436</v>
      </c>
      <c r="F317" s="11">
        <v>0</v>
      </c>
      <c r="G317" s="11">
        <v>21834</v>
      </c>
      <c r="H317" s="11">
        <v>0</v>
      </c>
      <c r="I317" s="11">
        <v>0</v>
      </c>
      <c r="J317" s="11">
        <v>0</v>
      </c>
      <c r="K317" s="11"/>
      <c r="L317" s="11">
        <v>0</v>
      </c>
      <c r="M317" s="28">
        <f>H317</f>
        <v>0</v>
      </c>
      <c r="N317" s="28">
        <v>0</v>
      </c>
      <c r="O317" s="9">
        <f t="shared" si="44"/>
        <v>0</v>
      </c>
    </row>
    <row r="318" spans="1:15" ht="17.25" customHeight="1">
      <c r="A318" s="30" t="s">
        <v>209</v>
      </c>
      <c r="B318" s="22"/>
      <c r="C318" s="10" t="s">
        <v>210</v>
      </c>
      <c r="D318" s="10">
        <f>D319+D320+D321+D323</f>
        <v>181894</v>
      </c>
      <c r="E318" s="10">
        <f aca="true" t="shared" si="45" ref="E318:L318">E319+E320+E321+E322+E323+E324</f>
        <v>139815</v>
      </c>
      <c r="F318" s="10">
        <f t="shared" si="45"/>
        <v>0</v>
      </c>
      <c r="G318" s="10">
        <f t="shared" si="45"/>
        <v>0</v>
      </c>
      <c r="H318" s="10">
        <f t="shared" si="45"/>
        <v>82649</v>
      </c>
      <c r="I318" s="10">
        <f>I319+I320+I321+I322+I323+I324</f>
        <v>0</v>
      </c>
      <c r="J318" s="10">
        <f>J319+J320+J321+J322+J323+J324</f>
        <v>0</v>
      </c>
      <c r="K318" s="10">
        <f>K319+K320+K321+K322+K323+K324+K326</f>
        <v>280971</v>
      </c>
      <c r="L318" s="10">
        <f t="shared" si="45"/>
        <v>0</v>
      </c>
      <c r="M318" s="23">
        <f>M319+M320+M321+M322+M323+M324+M326</f>
        <v>280971</v>
      </c>
      <c r="N318" s="23">
        <f>N319+N320+N321+N322+N323</f>
        <v>0</v>
      </c>
      <c r="O318" s="9">
        <f t="shared" si="44"/>
        <v>0.009524533017506543</v>
      </c>
    </row>
    <row r="319" spans="1:15" ht="24.75" customHeight="1">
      <c r="A319" s="30"/>
      <c r="B319" s="22" t="s">
        <v>48</v>
      </c>
      <c r="C319" s="14" t="s">
        <v>49</v>
      </c>
      <c r="D319" s="11">
        <v>134523</v>
      </c>
      <c r="E319" s="11">
        <v>97179</v>
      </c>
      <c r="F319" s="11">
        <v>0</v>
      </c>
      <c r="G319" s="11">
        <v>0</v>
      </c>
      <c r="H319" s="11">
        <v>60665</v>
      </c>
      <c r="I319" s="11">
        <v>0</v>
      </c>
      <c r="J319" s="11">
        <v>0</v>
      </c>
      <c r="K319" s="11">
        <v>148200</v>
      </c>
      <c r="L319" s="11">
        <v>0</v>
      </c>
      <c r="M319" s="28">
        <f aca="true" t="shared" si="46" ref="M319:M324">K319</f>
        <v>148200</v>
      </c>
      <c r="N319" s="28">
        <v>0</v>
      </c>
      <c r="O319" s="9">
        <f t="shared" si="44"/>
        <v>0.005023777518656621</v>
      </c>
    </row>
    <row r="320" spans="1:15" ht="18" customHeight="1">
      <c r="A320" s="30"/>
      <c r="B320" s="22" t="s">
        <v>52</v>
      </c>
      <c r="C320" s="14" t="s">
        <v>53</v>
      </c>
      <c r="D320" s="11">
        <v>12439</v>
      </c>
      <c r="E320" s="11">
        <v>9136</v>
      </c>
      <c r="F320" s="11">
        <v>0</v>
      </c>
      <c r="G320" s="11">
        <v>0</v>
      </c>
      <c r="H320" s="11">
        <v>3973</v>
      </c>
      <c r="I320" s="11">
        <v>0</v>
      </c>
      <c r="J320" s="11">
        <v>0</v>
      </c>
      <c r="K320" s="11">
        <v>5200</v>
      </c>
      <c r="L320" s="11">
        <v>0</v>
      </c>
      <c r="M320" s="28">
        <f t="shared" si="46"/>
        <v>5200</v>
      </c>
      <c r="N320" s="28">
        <v>0</v>
      </c>
      <c r="O320" s="9">
        <f t="shared" si="44"/>
        <v>0.0001762728953914604</v>
      </c>
    </row>
    <row r="321" spans="1:15" ht="16.5" customHeight="1">
      <c r="A321" s="30"/>
      <c r="B321" s="29" t="s">
        <v>106</v>
      </c>
      <c r="C321" s="14" t="s">
        <v>122</v>
      </c>
      <c r="D321" s="11">
        <v>28542</v>
      </c>
      <c r="E321" s="11">
        <v>18746</v>
      </c>
      <c r="F321" s="11">
        <v>0</v>
      </c>
      <c r="G321" s="11">
        <v>0</v>
      </c>
      <c r="H321" s="11">
        <v>10742</v>
      </c>
      <c r="I321" s="24">
        <v>0</v>
      </c>
      <c r="J321" s="24">
        <v>0</v>
      </c>
      <c r="K321" s="24">
        <v>27400</v>
      </c>
      <c r="L321" s="11">
        <v>0</v>
      </c>
      <c r="M321" s="28">
        <f t="shared" si="46"/>
        <v>27400</v>
      </c>
      <c r="N321" s="28">
        <v>0</v>
      </c>
      <c r="O321" s="9">
        <f t="shared" si="44"/>
        <v>0.0009288225641780798</v>
      </c>
    </row>
    <row r="322" spans="1:15" ht="16.5" customHeight="1">
      <c r="A322" s="30"/>
      <c r="B322" s="29" t="s">
        <v>56</v>
      </c>
      <c r="C322" s="14" t="s">
        <v>57</v>
      </c>
      <c r="D322" s="11"/>
      <c r="E322" s="11">
        <v>2604</v>
      </c>
      <c r="F322" s="11">
        <v>0</v>
      </c>
      <c r="G322" s="11">
        <v>0</v>
      </c>
      <c r="H322" s="11">
        <v>1499</v>
      </c>
      <c r="I322" s="24">
        <v>0</v>
      </c>
      <c r="J322" s="24">
        <v>0</v>
      </c>
      <c r="K322" s="24">
        <v>3760</v>
      </c>
      <c r="L322" s="11">
        <v>0</v>
      </c>
      <c r="M322" s="28">
        <f t="shared" si="46"/>
        <v>3760</v>
      </c>
      <c r="N322" s="28">
        <v>0</v>
      </c>
      <c r="O322" s="9">
        <f t="shared" si="44"/>
        <v>0.00012745886282151752</v>
      </c>
    </row>
    <row r="323" spans="1:15" ht="16.5" customHeight="1">
      <c r="A323" s="30"/>
      <c r="B323" s="22" t="s">
        <v>58</v>
      </c>
      <c r="C323" s="11" t="s">
        <v>85</v>
      </c>
      <c r="D323" s="11">
        <v>6390</v>
      </c>
      <c r="E323" s="11">
        <v>5029</v>
      </c>
      <c r="F323" s="11">
        <v>0</v>
      </c>
      <c r="G323" s="11">
        <v>0</v>
      </c>
      <c r="H323" s="11">
        <v>2000</v>
      </c>
      <c r="I323" s="24">
        <v>0</v>
      </c>
      <c r="J323" s="24">
        <v>0</v>
      </c>
      <c r="K323" s="24">
        <v>2000</v>
      </c>
      <c r="L323" s="11">
        <v>0</v>
      </c>
      <c r="M323" s="28">
        <f t="shared" si="46"/>
        <v>2000</v>
      </c>
      <c r="N323" s="28">
        <v>0</v>
      </c>
      <c r="O323" s="9">
        <f t="shared" si="44"/>
        <v>6.7797267458254E-05</v>
      </c>
    </row>
    <row r="324" spans="1:15" ht="15.75" customHeight="1">
      <c r="A324" s="30"/>
      <c r="B324" s="22" t="s">
        <v>70</v>
      </c>
      <c r="C324" s="11" t="s">
        <v>71</v>
      </c>
      <c r="D324" s="11"/>
      <c r="E324" s="11">
        <v>7121</v>
      </c>
      <c r="F324" s="11">
        <v>0</v>
      </c>
      <c r="G324" s="11">
        <v>0</v>
      </c>
      <c r="H324" s="11">
        <v>3770</v>
      </c>
      <c r="I324" s="24">
        <v>0</v>
      </c>
      <c r="J324" s="24">
        <v>0</v>
      </c>
      <c r="K324" s="24">
        <v>7875</v>
      </c>
      <c r="L324" s="11">
        <v>0</v>
      </c>
      <c r="M324" s="28">
        <f t="shared" si="46"/>
        <v>7875</v>
      </c>
      <c r="N324" s="28">
        <v>0</v>
      </c>
      <c r="O324" s="9">
        <f t="shared" si="44"/>
        <v>0.00026695174061687515</v>
      </c>
    </row>
    <row r="325" spans="1:15" ht="36.75" customHeight="1" hidden="1">
      <c r="A325" s="30" t="s">
        <v>211</v>
      </c>
      <c r="B325" s="22"/>
      <c r="C325" s="7" t="s">
        <v>212</v>
      </c>
      <c r="D325" s="10"/>
      <c r="E325" s="10">
        <f aca="true" t="shared" si="47" ref="E325:M325">E326</f>
        <v>0</v>
      </c>
      <c r="F325" s="10">
        <f t="shared" si="47"/>
        <v>0</v>
      </c>
      <c r="G325" s="10">
        <f t="shared" si="47"/>
        <v>0</v>
      </c>
      <c r="H325" s="10">
        <f t="shared" si="47"/>
        <v>0</v>
      </c>
      <c r="I325" s="10"/>
      <c r="J325" s="10"/>
      <c r="K325" s="10"/>
      <c r="L325" s="10">
        <f t="shared" si="47"/>
        <v>0</v>
      </c>
      <c r="M325" s="23">
        <f t="shared" si="47"/>
        <v>86536</v>
      </c>
      <c r="N325" s="23">
        <f>N326</f>
        <v>0</v>
      </c>
      <c r="O325" s="9">
        <f t="shared" si="44"/>
        <v>0</v>
      </c>
    </row>
    <row r="326" spans="1:15" ht="51.75" customHeight="1">
      <c r="A326" s="30"/>
      <c r="B326" s="22" t="s">
        <v>176</v>
      </c>
      <c r="C326" s="14" t="s">
        <v>791</v>
      </c>
      <c r="D326" s="11"/>
      <c r="E326" s="11">
        <v>0</v>
      </c>
      <c r="F326" s="11">
        <v>0</v>
      </c>
      <c r="G326" s="11">
        <v>0</v>
      </c>
      <c r="H326" s="11">
        <v>0</v>
      </c>
      <c r="I326" s="10"/>
      <c r="J326" s="10"/>
      <c r="K326" s="24">
        <v>86536</v>
      </c>
      <c r="L326" s="11">
        <v>0</v>
      </c>
      <c r="M326" s="28">
        <f>K326</f>
        <v>86536</v>
      </c>
      <c r="N326" s="28">
        <v>0</v>
      </c>
      <c r="O326" s="9">
        <f t="shared" si="44"/>
        <v>0.002933452168383734</v>
      </c>
    </row>
    <row r="327" spans="1:15" ht="18" customHeight="1">
      <c r="A327" s="30" t="s">
        <v>215</v>
      </c>
      <c r="B327" s="31"/>
      <c r="C327" s="7" t="s">
        <v>216</v>
      </c>
      <c r="D327" s="10"/>
      <c r="E327" s="10">
        <f>E328+E329+E330+E331+E332</f>
        <v>5839</v>
      </c>
      <c r="F327" s="10">
        <f>F328+F329+F330+F331+F332</f>
        <v>69</v>
      </c>
      <c r="G327" s="10">
        <f>G328+G329+G330+G331+G332</f>
        <v>69</v>
      </c>
      <c r="H327" s="10">
        <f>H329+H332</f>
        <v>1910</v>
      </c>
      <c r="I327" s="10">
        <f>I329+I332</f>
        <v>0</v>
      </c>
      <c r="J327" s="10">
        <f>J329+J332</f>
        <v>0</v>
      </c>
      <c r="K327" s="10">
        <f>K329+K332</f>
        <v>1270</v>
      </c>
      <c r="L327" s="10">
        <f>L329+L332</f>
        <v>0</v>
      </c>
      <c r="M327" s="23">
        <f>M328+M329+M330+M331+M332</f>
        <v>1270</v>
      </c>
      <c r="N327" s="23">
        <f>N329+N330+N331</f>
        <v>0</v>
      </c>
      <c r="O327" s="9">
        <f t="shared" si="44"/>
        <v>4.305126483599129E-05</v>
      </c>
    </row>
    <row r="328" spans="1:15" ht="0.75" customHeight="1" hidden="1">
      <c r="A328" s="30"/>
      <c r="B328" s="22" t="s">
        <v>46</v>
      </c>
      <c r="C328" s="14" t="s">
        <v>217</v>
      </c>
      <c r="D328" s="11"/>
      <c r="E328" s="11">
        <v>0</v>
      </c>
      <c r="F328" s="11">
        <v>0</v>
      </c>
      <c r="G328" s="11">
        <v>0</v>
      </c>
      <c r="H328" s="11"/>
      <c r="I328" s="10"/>
      <c r="J328" s="10"/>
      <c r="K328" s="10"/>
      <c r="L328" s="11"/>
      <c r="M328" s="28"/>
      <c r="N328" s="28"/>
      <c r="O328" s="9">
        <f t="shared" si="44"/>
        <v>0</v>
      </c>
    </row>
    <row r="329" spans="1:15" ht="16.5" customHeight="1">
      <c r="A329" s="30"/>
      <c r="B329" s="22" t="s">
        <v>58</v>
      </c>
      <c r="C329" s="14" t="s">
        <v>85</v>
      </c>
      <c r="D329" s="11"/>
      <c r="E329" s="11">
        <v>43</v>
      </c>
      <c r="F329" s="11">
        <v>0</v>
      </c>
      <c r="G329" s="11">
        <v>7</v>
      </c>
      <c r="H329" s="11">
        <v>100</v>
      </c>
      <c r="I329" s="11">
        <v>0</v>
      </c>
      <c r="J329" s="11">
        <v>0</v>
      </c>
      <c r="K329" s="11">
        <v>100</v>
      </c>
      <c r="L329" s="11">
        <v>0</v>
      </c>
      <c r="M329" s="28">
        <f>K329</f>
        <v>100</v>
      </c>
      <c r="N329" s="28">
        <v>0</v>
      </c>
      <c r="O329" s="9">
        <f t="shared" si="44"/>
        <v>3.3898633729127E-06</v>
      </c>
    </row>
    <row r="330" spans="1:15" ht="14.25" customHeight="1" hidden="1">
      <c r="A330" s="30"/>
      <c r="B330" s="22" t="s">
        <v>56</v>
      </c>
      <c r="C330" s="14" t="s">
        <v>57</v>
      </c>
      <c r="D330" s="11"/>
      <c r="E330" s="11">
        <v>6</v>
      </c>
      <c r="F330" s="11">
        <v>0</v>
      </c>
      <c r="G330" s="11">
        <v>1</v>
      </c>
      <c r="H330" s="11">
        <v>0</v>
      </c>
      <c r="I330" s="11">
        <v>0</v>
      </c>
      <c r="J330" s="11">
        <v>0</v>
      </c>
      <c r="K330" s="11"/>
      <c r="L330" s="11"/>
      <c r="M330" s="28"/>
      <c r="N330" s="28"/>
      <c r="O330" s="9">
        <f t="shared" si="44"/>
        <v>0</v>
      </c>
    </row>
    <row r="331" spans="1:15" ht="0.75" customHeight="1" hidden="1">
      <c r="A331" s="30"/>
      <c r="B331" s="22"/>
      <c r="C331" s="11" t="s">
        <v>97</v>
      </c>
      <c r="D331" s="11"/>
      <c r="E331" s="11">
        <v>4540</v>
      </c>
      <c r="F331" s="11">
        <v>0</v>
      </c>
      <c r="G331" s="11">
        <v>61</v>
      </c>
      <c r="H331" s="11">
        <v>0</v>
      </c>
      <c r="I331" s="10">
        <f>I332</f>
        <v>0</v>
      </c>
      <c r="J331" s="10">
        <f>J332</f>
        <v>0</v>
      </c>
      <c r="K331" s="10"/>
      <c r="L331" s="11"/>
      <c r="M331" s="28"/>
      <c r="N331" s="28"/>
      <c r="O331" s="9">
        <f t="shared" si="44"/>
        <v>0</v>
      </c>
    </row>
    <row r="332" spans="1:15" ht="15" customHeight="1">
      <c r="A332" s="30"/>
      <c r="B332" s="22" t="s">
        <v>64</v>
      </c>
      <c r="C332" s="11" t="s">
        <v>65</v>
      </c>
      <c r="D332" s="11"/>
      <c r="E332" s="11">
        <v>1250</v>
      </c>
      <c r="F332" s="11">
        <v>69</v>
      </c>
      <c r="G332" s="11">
        <v>0</v>
      </c>
      <c r="H332" s="11">
        <v>1810</v>
      </c>
      <c r="I332" s="11">
        <v>0</v>
      </c>
      <c r="J332" s="11">
        <v>0</v>
      </c>
      <c r="K332" s="11">
        <v>1170</v>
      </c>
      <c r="L332" s="11">
        <v>0</v>
      </c>
      <c r="M332" s="28">
        <f>K332</f>
        <v>1170</v>
      </c>
      <c r="N332" s="28">
        <v>0</v>
      </c>
      <c r="O332" s="9">
        <f t="shared" si="44"/>
        <v>3.966140146307859E-05</v>
      </c>
    </row>
    <row r="333" spans="1:15" ht="24.75" customHeight="1">
      <c r="A333" s="30" t="s">
        <v>218</v>
      </c>
      <c r="B333" s="31"/>
      <c r="C333" s="7" t="s">
        <v>219</v>
      </c>
      <c r="D333" s="10"/>
      <c r="E333" s="10">
        <f aca="true" t="shared" si="48" ref="E333:J333">E334</f>
        <v>22260</v>
      </c>
      <c r="F333" s="10">
        <f t="shared" si="48"/>
        <v>0</v>
      </c>
      <c r="G333" s="10">
        <f t="shared" si="48"/>
        <v>0</v>
      </c>
      <c r="H333" s="10">
        <f t="shared" si="48"/>
        <v>12800</v>
      </c>
      <c r="I333" s="10">
        <f t="shared" si="48"/>
        <v>0</v>
      </c>
      <c r="J333" s="10">
        <f t="shared" si="48"/>
        <v>0</v>
      </c>
      <c r="K333" s="10">
        <f>K334+K335+K336+K337+K338</f>
        <v>39096</v>
      </c>
      <c r="L333" s="10">
        <f>L334+L335+L336+L337+L338</f>
        <v>0</v>
      </c>
      <c r="M333" s="10">
        <f>M334+M335+M336+M337+M338</f>
        <v>27096</v>
      </c>
      <c r="N333" s="10">
        <f>N334+N335+N336+N337+N338</f>
        <v>12000</v>
      </c>
      <c r="O333" s="9">
        <f t="shared" si="44"/>
        <v>0.0013253009842739492</v>
      </c>
    </row>
    <row r="334" spans="1:15" ht="42" customHeight="1">
      <c r="A334" s="30"/>
      <c r="B334" s="22" t="s">
        <v>213</v>
      </c>
      <c r="C334" s="14" t="s">
        <v>214</v>
      </c>
      <c r="D334" s="11"/>
      <c r="E334" s="11">
        <v>22260</v>
      </c>
      <c r="F334" s="11">
        <v>0</v>
      </c>
      <c r="G334" s="11">
        <v>0</v>
      </c>
      <c r="H334" s="11">
        <v>12800</v>
      </c>
      <c r="I334" s="24">
        <v>0</v>
      </c>
      <c r="J334" s="24">
        <v>0</v>
      </c>
      <c r="K334" s="24">
        <v>12000</v>
      </c>
      <c r="L334" s="11">
        <v>0</v>
      </c>
      <c r="M334" s="28">
        <v>0</v>
      </c>
      <c r="N334" s="28">
        <f>K334</f>
        <v>12000</v>
      </c>
      <c r="O334" s="9">
        <f t="shared" si="44"/>
        <v>0.00040678360474952403</v>
      </c>
    </row>
    <row r="335" spans="1:15" ht="15" customHeight="1">
      <c r="A335" s="30"/>
      <c r="B335" s="22" t="s">
        <v>631</v>
      </c>
      <c r="C335" s="14" t="s">
        <v>632</v>
      </c>
      <c r="D335" s="11"/>
      <c r="E335" s="11"/>
      <c r="F335" s="11"/>
      <c r="G335" s="11"/>
      <c r="H335" s="11"/>
      <c r="I335" s="24"/>
      <c r="J335" s="24"/>
      <c r="K335" s="24">
        <v>13500</v>
      </c>
      <c r="L335" s="11">
        <v>0</v>
      </c>
      <c r="M335" s="28">
        <f>K335</f>
        <v>13500</v>
      </c>
      <c r="N335" s="28">
        <v>0</v>
      </c>
      <c r="O335" s="9">
        <f t="shared" si="44"/>
        <v>0.0004576315553432145</v>
      </c>
    </row>
    <row r="336" spans="1:15" ht="24.75" customHeight="1">
      <c r="A336" s="30"/>
      <c r="B336" s="22" t="s">
        <v>48</v>
      </c>
      <c r="C336" s="14" t="s">
        <v>49</v>
      </c>
      <c r="D336" s="11"/>
      <c r="E336" s="11"/>
      <c r="F336" s="11"/>
      <c r="G336" s="11"/>
      <c r="H336" s="11"/>
      <c r="I336" s="24"/>
      <c r="J336" s="24"/>
      <c r="K336" s="24">
        <v>11300</v>
      </c>
      <c r="L336" s="11">
        <v>0</v>
      </c>
      <c r="M336" s="28">
        <f>K336</f>
        <v>11300</v>
      </c>
      <c r="N336" s="28">
        <v>0</v>
      </c>
      <c r="O336" s="9">
        <f t="shared" si="44"/>
        <v>0.0003830545611391351</v>
      </c>
    </row>
    <row r="337" spans="1:15" ht="15" customHeight="1">
      <c r="A337" s="30"/>
      <c r="B337" s="22" t="s">
        <v>82</v>
      </c>
      <c r="C337" s="14" t="s">
        <v>122</v>
      </c>
      <c r="D337" s="11"/>
      <c r="E337" s="11"/>
      <c r="F337" s="11"/>
      <c r="G337" s="11"/>
      <c r="H337" s="11"/>
      <c r="I337" s="24"/>
      <c r="J337" s="24"/>
      <c r="K337" s="24">
        <v>2020</v>
      </c>
      <c r="L337" s="11">
        <v>0</v>
      </c>
      <c r="M337" s="28">
        <f>K337</f>
        <v>2020</v>
      </c>
      <c r="N337" s="28">
        <v>0</v>
      </c>
      <c r="O337" s="9">
        <f t="shared" si="44"/>
        <v>6.847524013283655E-05</v>
      </c>
    </row>
    <row r="338" spans="1:15" ht="15.75" customHeight="1">
      <c r="A338" s="30"/>
      <c r="B338" s="22" t="s">
        <v>56</v>
      </c>
      <c r="C338" s="14" t="s">
        <v>57</v>
      </c>
      <c r="D338" s="11"/>
      <c r="E338" s="11"/>
      <c r="F338" s="11"/>
      <c r="G338" s="11"/>
      <c r="H338" s="11"/>
      <c r="I338" s="24"/>
      <c r="J338" s="24"/>
      <c r="K338" s="24">
        <v>276</v>
      </c>
      <c r="L338" s="11">
        <v>0</v>
      </c>
      <c r="M338" s="28">
        <f>K338</f>
        <v>276</v>
      </c>
      <c r="N338" s="28">
        <v>0</v>
      </c>
      <c r="O338" s="9">
        <f t="shared" si="44"/>
        <v>9.356022909239052E-06</v>
      </c>
    </row>
    <row r="339" spans="1:15" ht="19.5" customHeight="1">
      <c r="A339" s="30" t="s">
        <v>220</v>
      </c>
      <c r="B339" s="22"/>
      <c r="C339" s="10" t="s">
        <v>124</v>
      </c>
      <c r="D339" s="10">
        <f>D344</f>
        <v>75717</v>
      </c>
      <c r="E339" s="10">
        <f>E344</f>
        <v>32249</v>
      </c>
      <c r="F339" s="10">
        <f>F344</f>
        <v>8206</v>
      </c>
      <c r="G339" s="10">
        <f>G344</f>
        <v>0</v>
      </c>
      <c r="H339" s="10">
        <f aca="true" t="shared" si="49" ref="H339:N339">H343</f>
        <v>28864</v>
      </c>
      <c r="I339" s="10">
        <f t="shared" si="49"/>
        <v>0</v>
      </c>
      <c r="J339" s="10">
        <f t="shared" si="49"/>
        <v>0</v>
      </c>
      <c r="K339" s="10">
        <f t="shared" si="49"/>
        <v>22572</v>
      </c>
      <c r="L339" s="10">
        <f t="shared" si="49"/>
        <v>0</v>
      </c>
      <c r="M339" s="23">
        <f t="shared" si="49"/>
        <v>22572</v>
      </c>
      <c r="N339" s="23">
        <f t="shared" si="49"/>
        <v>0</v>
      </c>
      <c r="O339" s="9">
        <f t="shared" si="44"/>
        <v>0.0007651599605338547</v>
      </c>
    </row>
    <row r="340" spans="1:15" ht="16.5" customHeight="1" hidden="1">
      <c r="A340" s="38"/>
      <c r="B340" s="35"/>
      <c r="C340" s="24"/>
      <c r="D340" s="24"/>
      <c r="E340" s="24"/>
      <c r="F340" s="24"/>
      <c r="G340" s="24"/>
      <c r="H340" s="24"/>
      <c r="I340" s="24">
        <v>0</v>
      </c>
      <c r="J340" s="24">
        <v>0</v>
      </c>
      <c r="K340" s="24"/>
      <c r="L340" s="24"/>
      <c r="M340" s="25"/>
      <c r="N340" s="25">
        <v>0</v>
      </c>
      <c r="O340" s="9">
        <f t="shared" si="44"/>
        <v>0</v>
      </c>
    </row>
    <row r="341" spans="1:15" ht="15.75" customHeight="1" hidden="1">
      <c r="A341" s="38"/>
      <c r="B341" s="35"/>
      <c r="C341" s="24"/>
      <c r="D341" s="24"/>
      <c r="E341" s="24"/>
      <c r="F341" s="24"/>
      <c r="G341" s="24"/>
      <c r="H341" s="24"/>
      <c r="I341" s="24">
        <v>0</v>
      </c>
      <c r="J341" s="24">
        <v>0</v>
      </c>
      <c r="K341" s="24"/>
      <c r="L341" s="24"/>
      <c r="M341" s="25"/>
      <c r="N341" s="25">
        <v>0</v>
      </c>
      <c r="O341" s="9">
        <f t="shared" si="44"/>
        <v>0</v>
      </c>
    </row>
    <row r="342" spans="1:15" ht="15" customHeight="1" hidden="1">
      <c r="A342" s="38"/>
      <c r="B342" s="35"/>
      <c r="C342" s="24"/>
      <c r="D342" s="24"/>
      <c r="E342" s="24"/>
      <c r="F342" s="24"/>
      <c r="G342" s="24"/>
      <c r="H342" s="24"/>
      <c r="I342" s="24">
        <v>0</v>
      </c>
      <c r="J342" s="24">
        <v>50000</v>
      </c>
      <c r="K342" s="24"/>
      <c r="L342" s="24"/>
      <c r="M342" s="25"/>
      <c r="N342" s="25">
        <v>0</v>
      </c>
      <c r="O342" s="9">
        <f t="shared" si="44"/>
        <v>0</v>
      </c>
    </row>
    <row r="343" spans="1:15" ht="15.75" customHeight="1">
      <c r="A343" s="38"/>
      <c r="B343" s="35" t="s">
        <v>70</v>
      </c>
      <c r="C343" s="24" t="s">
        <v>71</v>
      </c>
      <c r="D343" s="24"/>
      <c r="E343" s="24"/>
      <c r="F343" s="24"/>
      <c r="G343" s="24"/>
      <c r="H343" s="24">
        <v>28864</v>
      </c>
      <c r="I343" s="24">
        <v>0</v>
      </c>
      <c r="J343" s="24">
        <v>0</v>
      </c>
      <c r="K343" s="24">
        <v>22572</v>
      </c>
      <c r="L343" s="24">
        <v>0</v>
      </c>
      <c r="M343" s="25">
        <f>K343</f>
        <v>22572</v>
      </c>
      <c r="N343" s="25">
        <v>0</v>
      </c>
      <c r="O343" s="9">
        <f t="shared" si="44"/>
        <v>0.0007651599605338547</v>
      </c>
    </row>
    <row r="344" spans="1:15" ht="14.25" customHeight="1" hidden="1">
      <c r="A344" s="30"/>
      <c r="B344" s="22"/>
      <c r="C344" s="11" t="s">
        <v>175</v>
      </c>
      <c r="D344" s="11">
        <v>75717</v>
      </c>
      <c r="E344" s="11">
        <v>32249</v>
      </c>
      <c r="F344" s="11">
        <v>8206</v>
      </c>
      <c r="G344" s="11">
        <v>0</v>
      </c>
      <c r="H344" s="11">
        <v>0</v>
      </c>
      <c r="I344" s="24">
        <v>0</v>
      </c>
      <c r="J344" s="24">
        <v>0</v>
      </c>
      <c r="K344" s="24"/>
      <c r="L344" s="11">
        <v>0</v>
      </c>
      <c r="M344" s="28">
        <f>H344</f>
        <v>0</v>
      </c>
      <c r="N344" s="28">
        <v>0</v>
      </c>
      <c r="O344" s="9">
        <f t="shared" si="44"/>
        <v>0</v>
      </c>
    </row>
    <row r="345" spans="1:15" ht="18" customHeight="1">
      <c r="A345" s="21" t="s">
        <v>221</v>
      </c>
      <c r="B345" s="31"/>
      <c r="C345" s="10" t="s">
        <v>222</v>
      </c>
      <c r="D345" s="10">
        <f>D346+D351+D354+D356+D366+D368</f>
        <v>6537254</v>
      </c>
      <c r="E345" s="10">
        <f>E346+E351+E354+E356+E366+E368</f>
        <v>4315842</v>
      </c>
      <c r="F345" s="10">
        <f>F346+F351+F356+F368</f>
        <v>541609</v>
      </c>
      <c r="G345" s="10">
        <f>G346+G351+G356+G368</f>
        <v>0</v>
      </c>
      <c r="H345" s="10">
        <f aca="true" t="shared" si="50" ref="H345:M345">H346+H351+H368</f>
        <v>1582750</v>
      </c>
      <c r="I345" s="10">
        <f t="shared" si="50"/>
        <v>0</v>
      </c>
      <c r="J345" s="10">
        <f t="shared" si="50"/>
        <v>70165</v>
      </c>
      <c r="K345" s="10">
        <f t="shared" si="50"/>
        <v>656876</v>
      </c>
      <c r="L345" s="10">
        <f t="shared" si="50"/>
        <v>363000</v>
      </c>
      <c r="M345" s="23">
        <f t="shared" si="50"/>
        <v>293876</v>
      </c>
      <c r="N345" s="23">
        <f>N346+N351+N356+N368</f>
        <v>0</v>
      </c>
      <c r="O345" s="9">
        <f t="shared" si="44"/>
        <v>0.02226719892945403</v>
      </c>
    </row>
    <row r="346" spans="1:15" ht="20.25" customHeight="1">
      <c r="A346" s="21" t="s">
        <v>223</v>
      </c>
      <c r="B346" s="22"/>
      <c r="C346" s="10" t="s">
        <v>224</v>
      </c>
      <c r="D346" s="10">
        <f>D348+D349+D350</f>
        <v>3752531</v>
      </c>
      <c r="E346" s="10">
        <f>E348+E349+E350+E347</f>
        <v>764962</v>
      </c>
      <c r="F346" s="10">
        <f>F348+F349+F350+F347</f>
        <v>444135</v>
      </c>
      <c r="G346" s="10">
        <f>G348+G349+G350</f>
        <v>0</v>
      </c>
      <c r="H346" s="10">
        <f aca="true" t="shared" si="51" ref="H346:M346">H348</f>
        <v>875600</v>
      </c>
      <c r="I346" s="10">
        <f t="shared" si="51"/>
        <v>0</v>
      </c>
      <c r="J346" s="10">
        <f t="shared" si="51"/>
        <v>0</v>
      </c>
      <c r="K346" s="10">
        <f t="shared" si="51"/>
        <v>193876</v>
      </c>
      <c r="L346" s="10">
        <f t="shared" si="51"/>
        <v>0</v>
      </c>
      <c r="M346" s="10">
        <f t="shared" si="51"/>
        <v>193876</v>
      </c>
      <c r="N346" s="23">
        <f>N347+N348+N350</f>
        <v>0</v>
      </c>
      <c r="O346" s="9">
        <f t="shared" si="44"/>
        <v>0.006572131512868226</v>
      </c>
    </row>
    <row r="347" spans="1:15" ht="27.75" customHeight="1" hidden="1">
      <c r="A347" s="21"/>
      <c r="B347" s="22" t="s">
        <v>225</v>
      </c>
      <c r="C347" s="33" t="s">
        <v>226</v>
      </c>
      <c r="D347" s="24"/>
      <c r="E347" s="24">
        <v>0</v>
      </c>
      <c r="F347" s="24">
        <v>9135</v>
      </c>
      <c r="G347" s="24">
        <v>0</v>
      </c>
      <c r="H347" s="24">
        <v>0</v>
      </c>
      <c r="I347" s="24"/>
      <c r="J347" s="24"/>
      <c r="K347" s="24"/>
      <c r="L347" s="24">
        <v>0</v>
      </c>
      <c r="M347" s="25">
        <f>H347</f>
        <v>0</v>
      </c>
      <c r="N347" s="23">
        <v>0</v>
      </c>
      <c r="O347" s="9">
        <f t="shared" si="44"/>
        <v>0</v>
      </c>
    </row>
    <row r="348" spans="1:15" ht="17.25" customHeight="1">
      <c r="A348" s="21"/>
      <c r="B348" s="22" t="s">
        <v>88</v>
      </c>
      <c r="C348" s="24" t="s">
        <v>190</v>
      </c>
      <c r="D348" s="24">
        <v>3638000</v>
      </c>
      <c r="E348" s="24">
        <v>591962</v>
      </c>
      <c r="F348" s="24">
        <v>385000</v>
      </c>
      <c r="G348" s="24">
        <v>0</v>
      </c>
      <c r="H348" s="24">
        <v>875600</v>
      </c>
      <c r="I348" s="24">
        <v>0</v>
      </c>
      <c r="J348" s="24">
        <v>0</v>
      </c>
      <c r="K348" s="24">
        <v>193876</v>
      </c>
      <c r="L348" s="24">
        <v>0</v>
      </c>
      <c r="M348" s="25">
        <f>K348</f>
        <v>193876</v>
      </c>
      <c r="N348" s="25">
        <v>0</v>
      </c>
      <c r="O348" s="9">
        <f t="shared" si="44"/>
        <v>0.006572131512868226</v>
      </c>
    </row>
    <row r="349" spans="1:15" ht="18.75" customHeight="1" hidden="1">
      <c r="A349" s="32"/>
      <c r="B349" s="32" t="s">
        <v>225</v>
      </c>
      <c r="C349" s="33" t="s">
        <v>227</v>
      </c>
      <c r="D349" s="24">
        <v>74531</v>
      </c>
      <c r="E349" s="24">
        <v>0</v>
      </c>
      <c r="F349" s="24">
        <v>0</v>
      </c>
      <c r="G349" s="24">
        <v>0</v>
      </c>
      <c r="H349" s="24"/>
      <c r="I349" s="11">
        <v>0</v>
      </c>
      <c r="J349" s="11">
        <v>0</v>
      </c>
      <c r="K349" s="11"/>
      <c r="L349" s="24"/>
      <c r="M349" s="25"/>
      <c r="N349" s="25"/>
      <c r="O349" s="9">
        <f t="shared" si="44"/>
        <v>0</v>
      </c>
    </row>
    <row r="350" spans="1:15" ht="0.75" customHeight="1" hidden="1">
      <c r="A350" s="32"/>
      <c r="B350" s="32" t="s">
        <v>228</v>
      </c>
      <c r="C350" s="33" t="s">
        <v>229</v>
      </c>
      <c r="D350" s="24">
        <v>40000</v>
      </c>
      <c r="E350" s="24">
        <v>173000</v>
      </c>
      <c r="F350" s="24">
        <v>50000</v>
      </c>
      <c r="G350" s="24">
        <v>0</v>
      </c>
      <c r="H350" s="24">
        <v>0</v>
      </c>
      <c r="I350" s="11">
        <v>0</v>
      </c>
      <c r="J350" s="11">
        <v>0</v>
      </c>
      <c r="K350" s="11"/>
      <c r="L350" s="24">
        <v>0</v>
      </c>
      <c r="M350" s="25">
        <f>H350</f>
        <v>0</v>
      </c>
      <c r="N350" s="25">
        <v>0</v>
      </c>
      <c r="O350" s="9">
        <f t="shared" si="44"/>
        <v>0</v>
      </c>
    </row>
    <row r="351" spans="1:15" ht="27" customHeight="1">
      <c r="A351" s="21" t="s">
        <v>230</v>
      </c>
      <c r="B351" s="21"/>
      <c r="C351" s="7" t="s">
        <v>231</v>
      </c>
      <c r="D351" s="10">
        <f>D353</f>
        <v>5000</v>
      </c>
      <c r="E351" s="10">
        <f>E353+E352</f>
        <v>210000</v>
      </c>
      <c r="F351" s="10">
        <f>F353+F352</f>
        <v>97474</v>
      </c>
      <c r="G351" s="10">
        <f>G353+G352</f>
        <v>0</v>
      </c>
      <c r="H351" s="10">
        <f aca="true" t="shared" si="52" ref="H351:M351">H353</f>
        <v>140000</v>
      </c>
      <c r="I351" s="10">
        <f t="shared" si="52"/>
        <v>0</v>
      </c>
      <c r="J351" s="10">
        <f t="shared" si="52"/>
        <v>0</v>
      </c>
      <c r="K351" s="10">
        <f t="shared" si="52"/>
        <v>100000</v>
      </c>
      <c r="L351" s="10">
        <f t="shared" si="52"/>
        <v>0</v>
      </c>
      <c r="M351" s="10">
        <f t="shared" si="52"/>
        <v>100000</v>
      </c>
      <c r="N351" s="23">
        <f>N352+N353</f>
        <v>0</v>
      </c>
      <c r="O351" s="9">
        <f t="shared" si="44"/>
        <v>0.0033898633729127</v>
      </c>
    </row>
    <row r="352" spans="1:15" ht="0.75" customHeight="1" hidden="1">
      <c r="A352" s="34"/>
      <c r="B352" s="34" t="s">
        <v>225</v>
      </c>
      <c r="C352" s="33" t="s">
        <v>227</v>
      </c>
      <c r="D352" s="24"/>
      <c r="E352" s="24">
        <v>0</v>
      </c>
      <c r="F352" s="24">
        <v>25000</v>
      </c>
      <c r="G352" s="24">
        <v>0</v>
      </c>
      <c r="H352" s="24">
        <v>0</v>
      </c>
      <c r="I352" s="11">
        <v>270</v>
      </c>
      <c r="J352" s="11">
        <v>0</v>
      </c>
      <c r="K352" s="11"/>
      <c r="L352" s="24">
        <v>0</v>
      </c>
      <c r="M352" s="25">
        <f>H352</f>
        <v>0</v>
      </c>
      <c r="N352" s="23">
        <v>0</v>
      </c>
      <c r="O352" s="9">
        <f t="shared" si="44"/>
        <v>0</v>
      </c>
    </row>
    <row r="353" spans="1:15" ht="28.5" customHeight="1">
      <c r="A353" s="32"/>
      <c r="B353" s="32" t="s">
        <v>228</v>
      </c>
      <c r="C353" s="33" t="s">
        <v>229</v>
      </c>
      <c r="D353" s="24">
        <v>5000</v>
      </c>
      <c r="E353" s="24">
        <v>210000</v>
      </c>
      <c r="F353" s="24">
        <v>72474</v>
      </c>
      <c r="G353" s="24">
        <v>0</v>
      </c>
      <c r="H353" s="24">
        <v>140000</v>
      </c>
      <c r="I353" s="11">
        <v>0</v>
      </c>
      <c r="J353" s="11">
        <v>0</v>
      </c>
      <c r="K353" s="11">
        <v>100000</v>
      </c>
      <c r="L353" s="24">
        <v>0</v>
      </c>
      <c r="M353" s="25">
        <f>K353</f>
        <v>100000</v>
      </c>
      <c r="N353" s="25">
        <v>0</v>
      </c>
      <c r="O353" s="9">
        <f t="shared" si="44"/>
        <v>0.0033898633729127</v>
      </c>
    </row>
    <row r="354" spans="1:15" ht="18.75" customHeight="1" hidden="1">
      <c r="A354" s="21" t="s">
        <v>232</v>
      </c>
      <c r="B354" s="32"/>
      <c r="C354" s="7" t="s">
        <v>233</v>
      </c>
      <c r="D354" s="10">
        <f>D355</f>
        <v>29325</v>
      </c>
      <c r="E354" s="10">
        <f>E355</f>
        <v>0</v>
      </c>
      <c r="F354" s="10"/>
      <c r="G354" s="10"/>
      <c r="H354" s="10"/>
      <c r="I354" s="11">
        <v>4857</v>
      </c>
      <c r="J354" s="11">
        <v>0</v>
      </c>
      <c r="K354" s="11"/>
      <c r="L354" s="10"/>
      <c r="M354" s="23"/>
      <c r="N354" s="23"/>
      <c r="O354" s="9">
        <f aca="true" t="shared" si="53" ref="O354:O418">K354/$K$549</f>
        <v>0</v>
      </c>
    </row>
    <row r="355" spans="1:15" ht="18" customHeight="1" hidden="1">
      <c r="A355" s="32"/>
      <c r="B355" s="32" t="s">
        <v>225</v>
      </c>
      <c r="C355" s="33" t="s">
        <v>227</v>
      </c>
      <c r="D355" s="24">
        <v>29325</v>
      </c>
      <c r="E355" s="24">
        <v>0</v>
      </c>
      <c r="F355" s="24"/>
      <c r="G355" s="24"/>
      <c r="H355" s="24"/>
      <c r="I355" s="11">
        <v>6000</v>
      </c>
      <c r="J355" s="11">
        <v>0</v>
      </c>
      <c r="K355" s="11"/>
      <c r="L355" s="24"/>
      <c r="M355" s="25"/>
      <c r="N355" s="25">
        <v>0</v>
      </c>
      <c r="O355" s="9">
        <f t="shared" si="53"/>
        <v>0</v>
      </c>
    </row>
    <row r="356" spans="1:15" ht="15.75" customHeight="1" hidden="1">
      <c r="A356" s="21" t="s">
        <v>234</v>
      </c>
      <c r="B356" s="21"/>
      <c r="C356" s="10" t="s">
        <v>235</v>
      </c>
      <c r="D356" s="10">
        <f>D359+D360+D361+D363</f>
        <v>1222573</v>
      </c>
      <c r="E356" s="10">
        <f aca="true" t="shared" si="54" ref="E356:M356">E359+E360+E361+E362+E363+E364+E365</f>
        <v>1330000</v>
      </c>
      <c r="F356" s="10">
        <f t="shared" si="54"/>
        <v>0</v>
      </c>
      <c r="G356" s="10">
        <f t="shared" si="54"/>
        <v>0</v>
      </c>
      <c r="H356" s="10">
        <f t="shared" si="54"/>
        <v>0</v>
      </c>
      <c r="I356" s="11">
        <v>0</v>
      </c>
      <c r="J356" s="11">
        <v>0</v>
      </c>
      <c r="K356" s="11"/>
      <c r="L356" s="10">
        <f t="shared" si="54"/>
        <v>0</v>
      </c>
      <c r="M356" s="23">
        <f t="shared" si="54"/>
        <v>0</v>
      </c>
      <c r="N356" s="23">
        <f>N359+N360+N361+N362+N363</f>
        <v>0</v>
      </c>
      <c r="O356" s="9">
        <f t="shared" si="53"/>
        <v>0</v>
      </c>
    </row>
    <row r="357" spans="1:15" ht="13.5" customHeight="1" hidden="1">
      <c r="A357" s="21"/>
      <c r="B357" s="34" t="s">
        <v>44</v>
      </c>
      <c r="C357" s="24" t="s">
        <v>236</v>
      </c>
      <c r="D357" s="24"/>
      <c r="E357" s="24"/>
      <c r="F357" s="24"/>
      <c r="G357" s="24"/>
      <c r="H357" s="24"/>
      <c r="I357" s="10"/>
      <c r="J357" s="10"/>
      <c r="K357" s="10"/>
      <c r="L357" s="24"/>
      <c r="M357" s="25"/>
      <c r="N357" s="25"/>
      <c r="O357" s="9">
        <f t="shared" si="53"/>
        <v>0</v>
      </c>
    </row>
    <row r="358" spans="1:15" ht="16.5" customHeight="1" hidden="1">
      <c r="A358" s="21"/>
      <c r="B358" s="34" t="s">
        <v>46</v>
      </c>
      <c r="C358" s="24" t="s">
        <v>237</v>
      </c>
      <c r="D358" s="24"/>
      <c r="E358" s="24"/>
      <c r="F358" s="24"/>
      <c r="G358" s="24"/>
      <c r="H358" s="24"/>
      <c r="I358" s="11"/>
      <c r="J358" s="11"/>
      <c r="K358" s="11"/>
      <c r="L358" s="24"/>
      <c r="M358" s="25"/>
      <c r="N358" s="25"/>
      <c r="O358" s="9">
        <f t="shared" si="53"/>
        <v>0</v>
      </c>
    </row>
    <row r="359" spans="1:15" ht="17.25" customHeight="1" hidden="1">
      <c r="A359" s="501"/>
      <c r="B359" s="32" t="s">
        <v>48</v>
      </c>
      <c r="C359" s="14" t="s">
        <v>49</v>
      </c>
      <c r="D359" s="11">
        <v>921763</v>
      </c>
      <c r="E359" s="11">
        <v>981678</v>
      </c>
      <c r="F359" s="11">
        <v>0</v>
      </c>
      <c r="G359" s="11">
        <v>0</v>
      </c>
      <c r="H359" s="11">
        <v>0</v>
      </c>
      <c r="I359" s="10">
        <f>I360+I361+I362</f>
        <v>1477323</v>
      </c>
      <c r="J359" s="10">
        <f>J360+J361+J362</f>
        <v>90623</v>
      </c>
      <c r="K359" s="10"/>
      <c r="L359" s="11">
        <f>H359</f>
        <v>0</v>
      </c>
      <c r="M359" s="28">
        <v>0</v>
      </c>
      <c r="N359" s="28">
        <v>0</v>
      </c>
      <c r="O359" s="9">
        <f t="shared" si="53"/>
        <v>0</v>
      </c>
    </row>
    <row r="360" spans="1:15" ht="16.5" customHeight="1" hidden="1">
      <c r="A360" s="501"/>
      <c r="B360" s="32" t="s">
        <v>52</v>
      </c>
      <c r="C360" s="14" t="s">
        <v>53</v>
      </c>
      <c r="D360" s="11">
        <v>73529</v>
      </c>
      <c r="E360" s="11">
        <v>75873</v>
      </c>
      <c r="F360" s="11">
        <v>0</v>
      </c>
      <c r="G360" s="11">
        <v>0</v>
      </c>
      <c r="H360" s="11">
        <v>0</v>
      </c>
      <c r="I360" s="11">
        <v>1263299</v>
      </c>
      <c r="J360" s="11">
        <v>90623</v>
      </c>
      <c r="K360" s="11"/>
      <c r="L360" s="11">
        <f>H360</f>
        <v>0</v>
      </c>
      <c r="M360" s="28">
        <v>0</v>
      </c>
      <c r="N360" s="28">
        <v>0</v>
      </c>
      <c r="O360" s="9">
        <f t="shared" si="53"/>
        <v>0</v>
      </c>
    </row>
    <row r="361" spans="1:15" ht="17.25" customHeight="1" hidden="1">
      <c r="A361" s="501"/>
      <c r="B361" s="29" t="s">
        <v>106</v>
      </c>
      <c r="C361" s="14" t="s">
        <v>122</v>
      </c>
      <c r="D361" s="11">
        <v>188123</v>
      </c>
      <c r="E361" s="11">
        <v>179484</v>
      </c>
      <c r="F361" s="11">
        <v>0</v>
      </c>
      <c r="G361" s="11">
        <v>0</v>
      </c>
      <c r="H361" s="11">
        <v>0</v>
      </c>
      <c r="I361" s="11">
        <v>165090</v>
      </c>
      <c r="J361" s="11">
        <v>0</v>
      </c>
      <c r="K361" s="11"/>
      <c r="L361" s="11">
        <f>H361</f>
        <v>0</v>
      </c>
      <c r="M361" s="28">
        <v>0</v>
      </c>
      <c r="N361" s="28">
        <v>0</v>
      </c>
      <c r="O361" s="9">
        <f t="shared" si="53"/>
        <v>0</v>
      </c>
    </row>
    <row r="362" spans="1:15" ht="17.25" customHeight="1" hidden="1">
      <c r="A362" s="501"/>
      <c r="B362" s="29" t="s">
        <v>56</v>
      </c>
      <c r="C362" s="14" t="s">
        <v>57</v>
      </c>
      <c r="D362" s="11"/>
      <c r="E362" s="11">
        <v>25000</v>
      </c>
      <c r="F362" s="11">
        <v>0</v>
      </c>
      <c r="G362" s="11">
        <v>0</v>
      </c>
      <c r="H362" s="11">
        <v>0</v>
      </c>
      <c r="I362" s="11">
        <v>48934</v>
      </c>
      <c r="J362" s="11">
        <v>0</v>
      </c>
      <c r="K362" s="11"/>
      <c r="L362" s="11">
        <f>H362</f>
        <v>0</v>
      </c>
      <c r="M362" s="28">
        <v>0</v>
      </c>
      <c r="N362" s="28">
        <v>0</v>
      </c>
      <c r="O362" s="9">
        <f t="shared" si="53"/>
        <v>0</v>
      </c>
    </row>
    <row r="363" spans="1:15" ht="18" customHeight="1" hidden="1">
      <c r="A363" s="501"/>
      <c r="B363" s="32"/>
      <c r="C363" s="11" t="s">
        <v>97</v>
      </c>
      <c r="D363" s="11">
        <v>39158</v>
      </c>
      <c r="E363" s="11">
        <v>21000</v>
      </c>
      <c r="F363" s="11">
        <v>0</v>
      </c>
      <c r="G363" s="11">
        <v>0</v>
      </c>
      <c r="H363" s="11">
        <v>0</v>
      </c>
      <c r="I363" s="10" t="e">
        <f>I364+I382+I397+I401+I402+I415+I419+I426+I434+I449</f>
        <v>#REF!</v>
      </c>
      <c r="J363" s="10" t="e">
        <f>J364+J382+J397+J401+J402+J415+J419+J426+J434+J449</f>
        <v>#REF!</v>
      </c>
      <c r="K363" s="10"/>
      <c r="L363" s="11">
        <f>H363</f>
        <v>0</v>
      </c>
      <c r="M363" s="28">
        <v>0</v>
      </c>
      <c r="N363" s="28">
        <v>0</v>
      </c>
      <c r="O363" s="9">
        <f t="shared" si="53"/>
        <v>0</v>
      </c>
    </row>
    <row r="364" spans="1:15" ht="15.75" customHeight="1" hidden="1">
      <c r="A364" s="27"/>
      <c r="B364" s="32" t="s">
        <v>60</v>
      </c>
      <c r="C364" s="11" t="s">
        <v>142</v>
      </c>
      <c r="D364" s="11"/>
      <c r="E364" s="11">
        <v>17179</v>
      </c>
      <c r="F364" s="11">
        <v>0</v>
      </c>
      <c r="G364" s="11">
        <v>0</v>
      </c>
      <c r="H364" s="11"/>
      <c r="I364" s="10" t="e">
        <f>I365+I366+I367+I368+I369+I370+I371+I372+I373+I374+I375+I376+I377+I378+I379+#REF!+I380+I381</f>
        <v>#REF!</v>
      </c>
      <c r="J364" s="10" t="e">
        <f>J365+J366+J367+J368+J369+J370+J371+J372+J373+J374+J375+J376+J377+J378+J379+#REF!+J380+J381</f>
        <v>#REF!</v>
      </c>
      <c r="K364" s="10"/>
      <c r="L364" s="11"/>
      <c r="M364" s="28"/>
      <c r="N364" s="28"/>
      <c r="O364" s="9">
        <f t="shared" si="53"/>
        <v>0</v>
      </c>
    </row>
    <row r="365" spans="1:15" ht="15.75" customHeight="1" hidden="1">
      <c r="A365" s="27"/>
      <c r="B365" s="32" t="s">
        <v>70</v>
      </c>
      <c r="C365" s="11" t="s">
        <v>71</v>
      </c>
      <c r="D365" s="11"/>
      <c r="E365" s="11">
        <v>29786</v>
      </c>
      <c r="F365" s="11">
        <v>0</v>
      </c>
      <c r="G365" s="11">
        <v>0</v>
      </c>
      <c r="H365" s="11"/>
      <c r="I365" s="11">
        <v>2807</v>
      </c>
      <c r="J365" s="11">
        <v>8659</v>
      </c>
      <c r="K365" s="11"/>
      <c r="L365" s="11"/>
      <c r="M365" s="28"/>
      <c r="N365" s="28"/>
      <c r="O365" s="9">
        <f t="shared" si="53"/>
        <v>0</v>
      </c>
    </row>
    <row r="366" spans="1:15" ht="15.75" customHeight="1" hidden="1">
      <c r="A366" s="30" t="s">
        <v>238</v>
      </c>
      <c r="B366" s="21"/>
      <c r="C366" s="10" t="s">
        <v>239</v>
      </c>
      <c r="D366" s="10">
        <f>D367</f>
        <v>4495</v>
      </c>
      <c r="E366" s="10">
        <f>E367</f>
        <v>0</v>
      </c>
      <c r="F366" s="10"/>
      <c r="G366" s="10"/>
      <c r="H366" s="10"/>
      <c r="I366" s="11">
        <v>0</v>
      </c>
      <c r="J366" s="11">
        <v>0</v>
      </c>
      <c r="K366" s="11"/>
      <c r="L366" s="10"/>
      <c r="M366" s="23"/>
      <c r="N366" s="23"/>
      <c r="O366" s="9">
        <f t="shared" si="53"/>
        <v>0</v>
      </c>
    </row>
    <row r="367" spans="1:15" ht="17.25" customHeight="1" hidden="1">
      <c r="A367" s="27"/>
      <c r="B367" s="32" t="s">
        <v>225</v>
      </c>
      <c r="C367" s="33" t="s">
        <v>227</v>
      </c>
      <c r="D367" s="11">
        <v>4495</v>
      </c>
      <c r="E367" s="11">
        <v>0</v>
      </c>
      <c r="F367" s="11"/>
      <c r="G367" s="11"/>
      <c r="H367" s="11"/>
      <c r="I367" s="11">
        <v>0</v>
      </c>
      <c r="J367" s="11">
        <v>18981</v>
      </c>
      <c r="K367" s="11"/>
      <c r="L367" s="11"/>
      <c r="M367" s="28"/>
      <c r="N367" s="28">
        <v>0</v>
      </c>
      <c r="O367" s="9">
        <f t="shared" si="53"/>
        <v>0</v>
      </c>
    </row>
    <row r="368" spans="1:15" ht="25.5" customHeight="1">
      <c r="A368" s="30" t="s">
        <v>240</v>
      </c>
      <c r="B368" s="32"/>
      <c r="C368" s="7" t="s">
        <v>241</v>
      </c>
      <c r="D368" s="10">
        <f>D369</f>
        <v>1523330</v>
      </c>
      <c r="E368" s="10">
        <f>E369+E370+E371</f>
        <v>2010880</v>
      </c>
      <c r="F368" s="10">
        <f>F369+F370+F371</f>
        <v>0</v>
      </c>
      <c r="G368" s="10">
        <f>G369+G370+G371</f>
        <v>0</v>
      </c>
      <c r="H368" s="10">
        <f aca="true" t="shared" si="55" ref="H368:M368">H370</f>
        <v>567150</v>
      </c>
      <c r="I368" s="10">
        <f t="shared" si="55"/>
        <v>0</v>
      </c>
      <c r="J368" s="10">
        <f t="shared" si="55"/>
        <v>70165</v>
      </c>
      <c r="K368" s="10">
        <f t="shared" si="55"/>
        <v>363000</v>
      </c>
      <c r="L368" s="10">
        <f t="shared" si="55"/>
        <v>363000</v>
      </c>
      <c r="M368" s="10">
        <f t="shared" si="55"/>
        <v>0</v>
      </c>
      <c r="N368" s="23">
        <f>N369</f>
        <v>0</v>
      </c>
      <c r="O368" s="9">
        <f t="shared" si="53"/>
        <v>0.012305204043673102</v>
      </c>
    </row>
    <row r="369" spans="1:15" ht="15" customHeight="1" hidden="1">
      <c r="A369" s="27"/>
      <c r="B369" s="32"/>
      <c r="C369" s="14" t="s">
        <v>97</v>
      </c>
      <c r="D369" s="11">
        <v>1523330</v>
      </c>
      <c r="E369" s="11">
        <v>1927964</v>
      </c>
      <c r="F369" s="11">
        <v>0</v>
      </c>
      <c r="G369" s="11">
        <v>0</v>
      </c>
      <c r="H369" s="11">
        <v>0</v>
      </c>
      <c r="I369" s="11">
        <v>13</v>
      </c>
      <c r="J369" s="11">
        <v>0</v>
      </c>
      <c r="K369" s="11"/>
      <c r="L369" s="11">
        <f>H369</f>
        <v>0</v>
      </c>
      <c r="M369" s="28">
        <v>0</v>
      </c>
      <c r="N369" s="28">
        <v>0</v>
      </c>
      <c r="O369" s="9">
        <f t="shared" si="53"/>
        <v>0</v>
      </c>
    </row>
    <row r="370" spans="1:15" ht="13.5" customHeight="1">
      <c r="A370" s="27"/>
      <c r="B370" s="32" t="s">
        <v>242</v>
      </c>
      <c r="C370" s="14" t="s">
        <v>243</v>
      </c>
      <c r="D370" s="11"/>
      <c r="E370" s="11">
        <v>47223</v>
      </c>
      <c r="F370" s="11">
        <v>0</v>
      </c>
      <c r="G370" s="11">
        <v>0</v>
      </c>
      <c r="H370" s="11">
        <v>567150</v>
      </c>
      <c r="I370" s="11">
        <v>0</v>
      </c>
      <c r="J370" s="11">
        <v>70165</v>
      </c>
      <c r="K370" s="11">
        <v>363000</v>
      </c>
      <c r="L370" s="11">
        <f>K370</f>
        <v>363000</v>
      </c>
      <c r="M370" s="28">
        <v>0</v>
      </c>
      <c r="N370" s="28">
        <v>0</v>
      </c>
      <c r="O370" s="9">
        <f t="shared" si="53"/>
        <v>0.012305204043673102</v>
      </c>
    </row>
    <row r="371" spans="1:15" ht="24.75" customHeight="1" hidden="1">
      <c r="A371" s="27"/>
      <c r="B371" s="32" t="s">
        <v>244</v>
      </c>
      <c r="C371" s="14" t="s">
        <v>245</v>
      </c>
      <c r="D371" s="11"/>
      <c r="E371" s="11">
        <v>35693</v>
      </c>
      <c r="F371" s="11">
        <v>0</v>
      </c>
      <c r="G371" s="11">
        <v>0</v>
      </c>
      <c r="H371" s="11"/>
      <c r="I371" s="11">
        <v>0</v>
      </c>
      <c r="J371" s="11">
        <v>0</v>
      </c>
      <c r="K371" s="11"/>
      <c r="L371" s="11"/>
      <c r="M371" s="28"/>
      <c r="N371" s="28">
        <v>0</v>
      </c>
      <c r="O371" s="9">
        <f t="shared" si="53"/>
        <v>0</v>
      </c>
    </row>
    <row r="372" spans="1:15" ht="17.25" customHeight="1">
      <c r="A372" s="21" t="s">
        <v>246</v>
      </c>
      <c r="B372" s="21"/>
      <c r="C372" s="10" t="s">
        <v>247</v>
      </c>
      <c r="D372" s="10">
        <f>D373+D390+D408+D411+D413+D424+D428+D447</f>
        <v>5478697</v>
      </c>
      <c r="E372" s="10" t="e">
        <f aca="true" t="shared" si="56" ref="E372:N372">E373+E390+E408+E411+E413+E424+E428+E436+E447+E461</f>
        <v>#REF!</v>
      </c>
      <c r="F372" s="10" t="e">
        <f t="shared" si="56"/>
        <v>#REF!</v>
      </c>
      <c r="G372" s="10" t="e">
        <f t="shared" si="56"/>
        <v>#REF!</v>
      </c>
      <c r="H372" s="10" t="e">
        <f t="shared" si="56"/>
        <v>#REF!</v>
      </c>
      <c r="I372" s="10" t="e">
        <f t="shared" si="56"/>
        <v>#REF!</v>
      </c>
      <c r="J372" s="10" t="e">
        <f t="shared" si="56"/>
        <v>#REF!</v>
      </c>
      <c r="K372" s="10">
        <f t="shared" si="56"/>
        <v>2695090</v>
      </c>
      <c r="L372" s="10">
        <f t="shared" si="56"/>
        <v>476023</v>
      </c>
      <c r="M372" s="10">
        <f t="shared" si="56"/>
        <v>2181829</v>
      </c>
      <c r="N372" s="10">
        <f t="shared" si="56"/>
        <v>37238</v>
      </c>
      <c r="O372" s="9">
        <f t="shared" si="53"/>
        <v>0.0913598687770329</v>
      </c>
    </row>
    <row r="373" spans="1:15" ht="18.75" customHeight="1">
      <c r="A373" s="21" t="s">
        <v>248</v>
      </c>
      <c r="B373" s="21"/>
      <c r="C373" s="7" t="s">
        <v>249</v>
      </c>
      <c r="D373" s="10">
        <f>D374+D375+D376+D378</f>
        <v>2200940</v>
      </c>
      <c r="E373" s="10" t="e">
        <f>E374+E375+E376+E377+E378+E379+#REF!+E380+E381+E382+#REF!+E384+#REF!+E385+E386+E387+E388+E389</f>
        <v>#REF!</v>
      </c>
      <c r="F373" s="10" t="e">
        <f>F374+F375+F376+F377+F378+F379+#REF!+F380+F381+F382+#REF!+F384+#REF!+F385+F386+F387+F388+F389</f>
        <v>#REF!</v>
      </c>
      <c r="G373" s="10" t="e">
        <f>G374+G375+G376+G377+G378+G379+#REF!+G380+G381+G382+#REF!+G384+#REF!+G385+G386+G387+G388+G389</f>
        <v>#REF!</v>
      </c>
      <c r="H373" s="10" t="e">
        <f>H374+H375+H376+H377+H378+H379+#REF!+H380+H381+H382+#REF!+H384+#REF!+H385+H386+H387+H388+H389</f>
        <v>#REF!</v>
      </c>
      <c r="I373" s="10" t="e">
        <f>I374+I375+I376+I377+I379+#REF!+I380+I381+I382+#REF!+I384+#REF!+I385+I386+I387+I388+I389</f>
        <v>#REF!</v>
      </c>
      <c r="J373" s="10" t="e">
        <f>J374+J375+J376+J377+J379+#REF!+J380+J381+J382+#REF!+J384+#REF!+J385+J386+J387+J388+J389</f>
        <v>#REF!</v>
      </c>
      <c r="K373" s="10">
        <f>K374+K375+K376+K377+K379+K380+K381+K382+K384+K385+K386+K387+K388+K389+K383</f>
        <v>691191</v>
      </c>
      <c r="L373" s="10">
        <f>L374+L375+L376+L377+L379+L380+L381+L382+L384+L385+L386+L387+L388+L389+L383</f>
        <v>0</v>
      </c>
      <c r="M373" s="10">
        <f>M374+M375+M376+M377+M379+M380+M381+M382+M384+M385+M386+M387+M388+M389+M383</f>
        <v>691191</v>
      </c>
      <c r="N373" s="10">
        <f>N374+N375+N376+N377+N379+N380+N381+N382+N384+N385+N386+N387+N388+N389+N383</f>
        <v>0</v>
      </c>
      <c r="O373" s="9">
        <f t="shared" si="53"/>
        <v>0.023430430545869022</v>
      </c>
    </row>
    <row r="374" spans="1:15" ht="26.25" customHeight="1">
      <c r="A374" s="21"/>
      <c r="B374" s="32" t="s">
        <v>48</v>
      </c>
      <c r="C374" s="14" t="s">
        <v>49</v>
      </c>
      <c r="D374" s="11">
        <v>956632</v>
      </c>
      <c r="E374" s="11">
        <v>1089025</v>
      </c>
      <c r="F374" s="11">
        <v>0</v>
      </c>
      <c r="G374" s="11">
        <v>0</v>
      </c>
      <c r="H374" s="11">
        <v>378547</v>
      </c>
      <c r="I374" s="11">
        <v>4270</v>
      </c>
      <c r="J374" s="11">
        <v>0</v>
      </c>
      <c r="K374" s="11">
        <v>299320</v>
      </c>
      <c r="L374" s="11">
        <v>0</v>
      </c>
      <c r="M374" s="28">
        <f>K374</f>
        <v>299320</v>
      </c>
      <c r="N374" s="28">
        <v>0</v>
      </c>
      <c r="O374" s="9">
        <f t="shared" si="53"/>
        <v>0.010146539047802295</v>
      </c>
    </row>
    <row r="375" spans="1:15" ht="18" customHeight="1">
      <c r="A375" s="21"/>
      <c r="B375" s="32" t="s">
        <v>52</v>
      </c>
      <c r="C375" s="14" t="s">
        <v>53</v>
      </c>
      <c r="D375" s="14">
        <v>70520</v>
      </c>
      <c r="E375" s="11">
        <v>77400</v>
      </c>
      <c r="F375" s="11">
        <v>0</v>
      </c>
      <c r="G375" s="11">
        <v>0</v>
      </c>
      <c r="H375" s="11">
        <v>34640</v>
      </c>
      <c r="I375" s="11">
        <v>0</v>
      </c>
      <c r="J375" s="11">
        <v>0</v>
      </c>
      <c r="K375" s="11">
        <v>29155</v>
      </c>
      <c r="L375" s="11">
        <v>0</v>
      </c>
      <c r="M375" s="28">
        <f aca="true" t="shared" si="57" ref="M375:M389">K375</f>
        <v>29155</v>
      </c>
      <c r="N375" s="28">
        <v>0</v>
      </c>
      <c r="O375" s="9">
        <f t="shared" si="53"/>
        <v>0.0009883146663726978</v>
      </c>
    </row>
    <row r="376" spans="1:15" ht="18" customHeight="1">
      <c r="A376" s="21"/>
      <c r="B376" s="29" t="s">
        <v>106</v>
      </c>
      <c r="C376" s="14" t="s">
        <v>122</v>
      </c>
      <c r="D376" s="11">
        <v>208573</v>
      </c>
      <c r="E376" s="11">
        <v>207904</v>
      </c>
      <c r="F376" s="11">
        <v>0</v>
      </c>
      <c r="G376" s="11">
        <v>0</v>
      </c>
      <c r="H376" s="11">
        <v>69822</v>
      </c>
      <c r="I376" s="11">
        <v>610</v>
      </c>
      <c r="J376" s="11">
        <v>0</v>
      </c>
      <c r="K376" s="11">
        <v>58730</v>
      </c>
      <c r="L376" s="11">
        <v>0</v>
      </c>
      <c r="M376" s="28">
        <f t="shared" si="57"/>
        <v>58730</v>
      </c>
      <c r="N376" s="28">
        <v>0</v>
      </c>
      <c r="O376" s="9">
        <f t="shared" si="53"/>
        <v>0.001990866758911629</v>
      </c>
    </row>
    <row r="377" spans="1:15" ht="14.25" customHeight="1">
      <c r="A377" s="21"/>
      <c r="B377" s="29" t="s">
        <v>56</v>
      </c>
      <c r="C377" s="14" t="s">
        <v>57</v>
      </c>
      <c r="D377" s="11"/>
      <c r="E377" s="11">
        <v>27489</v>
      </c>
      <c r="F377" s="11">
        <v>0</v>
      </c>
      <c r="G377" s="11">
        <v>0</v>
      </c>
      <c r="H377" s="11">
        <v>9567</v>
      </c>
      <c r="I377" s="11">
        <v>84</v>
      </c>
      <c r="J377" s="11">
        <v>0</v>
      </c>
      <c r="K377" s="11">
        <v>8050</v>
      </c>
      <c r="L377" s="11">
        <v>0</v>
      </c>
      <c r="M377" s="28">
        <f t="shared" si="57"/>
        <v>8050</v>
      </c>
      <c r="N377" s="28">
        <v>0</v>
      </c>
      <c r="O377" s="9">
        <f t="shared" si="53"/>
        <v>0.00027288400151947236</v>
      </c>
    </row>
    <row r="378" spans="1:15" ht="17.25" customHeight="1" hidden="1">
      <c r="A378" s="21"/>
      <c r="B378" s="32"/>
      <c r="C378" s="11" t="s">
        <v>97</v>
      </c>
      <c r="D378" s="11">
        <v>965215</v>
      </c>
      <c r="E378" s="11">
        <v>2749</v>
      </c>
      <c r="F378" s="11">
        <v>0</v>
      </c>
      <c r="G378" s="11">
        <v>0</v>
      </c>
      <c r="H378" s="11">
        <v>0</v>
      </c>
      <c r="I378" s="11">
        <v>0</v>
      </c>
      <c r="J378" s="11">
        <v>0</v>
      </c>
      <c r="K378" s="11"/>
      <c r="L378" s="11">
        <v>0</v>
      </c>
      <c r="M378" s="28">
        <f t="shared" si="57"/>
        <v>0</v>
      </c>
      <c r="N378" s="28">
        <v>0</v>
      </c>
      <c r="O378" s="9">
        <f t="shared" si="53"/>
        <v>0</v>
      </c>
    </row>
    <row r="379" spans="1:15" ht="18" customHeight="1">
      <c r="A379" s="21"/>
      <c r="B379" s="32" t="s">
        <v>44</v>
      </c>
      <c r="C379" s="11" t="s">
        <v>236</v>
      </c>
      <c r="D379" s="11"/>
      <c r="E379" s="11">
        <v>10492</v>
      </c>
      <c r="F379" s="11">
        <v>0</v>
      </c>
      <c r="G379" s="11">
        <v>0</v>
      </c>
      <c r="H379" s="11">
        <v>4491</v>
      </c>
      <c r="I379" s="11">
        <v>0</v>
      </c>
      <c r="J379" s="11">
        <v>0</v>
      </c>
      <c r="K379" s="11">
        <v>2952</v>
      </c>
      <c r="L379" s="11">
        <v>0</v>
      </c>
      <c r="M379" s="28">
        <f t="shared" si="57"/>
        <v>2952</v>
      </c>
      <c r="N379" s="28">
        <v>0</v>
      </c>
      <c r="O379" s="9">
        <f t="shared" si="53"/>
        <v>0.00010006876676838291</v>
      </c>
    </row>
    <row r="380" spans="1:15" ht="17.25" customHeight="1">
      <c r="A380" s="21"/>
      <c r="B380" s="32" t="s">
        <v>250</v>
      </c>
      <c r="C380" s="11" t="s">
        <v>251</v>
      </c>
      <c r="D380" s="11"/>
      <c r="E380" s="11">
        <v>101199</v>
      </c>
      <c r="F380" s="11">
        <v>0</v>
      </c>
      <c r="G380" s="11">
        <v>0</v>
      </c>
      <c r="H380" s="11">
        <v>65695</v>
      </c>
      <c r="I380" s="11">
        <v>0</v>
      </c>
      <c r="J380" s="11">
        <v>0</v>
      </c>
      <c r="K380" s="11">
        <v>134655</v>
      </c>
      <c r="L380" s="11">
        <v>0</v>
      </c>
      <c r="M380" s="28">
        <f t="shared" si="57"/>
        <v>134655</v>
      </c>
      <c r="N380" s="28">
        <v>0</v>
      </c>
      <c r="O380" s="9">
        <f t="shared" si="53"/>
        <v>0.004564620524795596</v>
      </c>
    </row>
    <row r="381" spans="1:15" ht="16.5" customHeight="1">
      <c r="A381" s="21"/>
      <c r="B381" s="32" t="s">
        <v>58</v>
      </c>
      <c r="C381" s="11" t="s">
        <v>180</v>
      </c>
      <c r="D381" s="11"/>
      <c r="E381" s="11">
        <v>96956</v>
      </c>
      <c r="F381" s="11">
        <v>0</v>
      </c>
      <c r="G381" s="11">
        <v>0</v>
      </c>
      <c r="H381" s="11">
        <v>32749</v>
      </c>
      <c r="I381" s="11">
        <v>0</v>
      </c>
      <c r="J381" s="11">
        <v>0</v>
      </c>
      <c r="K381" s="11">
        <v>20363</v>
      </c>
      <c r="L381" s="11">
        <v>0</v>
      </c>
      <c r="M381" s="28">
        <f t="shared" si="57"/>
        <v>20363</v>
      </c>
      <c r="N381" s="28">
        <v>0</v>
      </c>
      <c r="O381" s="9">
        <f t="shared" si="53"/>
        <v>0.0006902778786262131</v>
      </c>
    </row>
    <row r="382" spans="1:15" ht="18" customHeight="1">
      <c r="A382" s="21"/>
      <c r="B382" s="32" t="s">
        <v>138</v>
      </c>
      <c r="C382" s="11" t="s">
        <v>252</v>
      </c>
      <c r="D382" s="11"/>
      <c r="E382" s="11">
        <v>188099</v>
      </c>
      <c r="F382" s="11">
        <v>0</v>
      </c>
      <c r="G382" s="11">
        <v>0</v>
      </c>
      <c r="H382" s="11">
        <v>61000</v>
      </c>
      <c r="I382" s="24">
        <v>0</v>
      </c>
      <c r="J382" s="24">
        <v>0</v>
      </c>
      <c r="K382" s="24">
        <v>50136</v>
      </c>
      <c r="L382" s="11">
        <v>0</v>
      </c>
      <c r="M382" s="28">
        <f t="shared" si="57"/>
        <v>50136</v>
      </c>
      <c r="N382" s="28">
        <v>0</v>
      </c>
      <c r="O382" s="9">
        <f t="shared" si="53"/>
        <v>0.0016995419006435113</v>
      </c>
    </row>
    <row r="383" spans="1:15" ht="18" customHeight="1">
      <c r="A383" s="21"/>
      <c r="B383" s="32" t="s">
        <v>259</v>
      </c>
      <c r="C383" s="11" t="s">
        <v>260</v>
      </c>
      <c r="D383" s="11"/>
      <c r="E383" s="11"/>
      <c r="F383" s="11"/>
      <c r="G383" s="11"/>
      <c r="H383" s="11"/>
      <c r="I383" s="24"/>
      <c r="J383" s="24"/>
      <c r="K383" s="24">
        <v>1500</v>
      </c>
      <c r="L383" s="11">
        <v>0</v>
      </c>
      <c r="M383" s="28">
        <f>K383</f>
        <v>1500</v>
      </c>
      <c r="N383" s="28">
        <v>0</v>
      </c>
      <c r="O383" s="9">
        <f t="shared" si="53"/>
        <v>5.0847950593690504E-05</v>
      </c>
    </row>
    <row r="384" spans="1:15" ht="17.25" customHeight="1">
      <c r="A384" s="21"/>
      <c r="B384" s="32" t="s">
        <v>60</v>
      </c>
      <c r="C384" s="11" t="s">
        <v>142</v>
      </c>
      <c r="D384" s="11"/>
      <c r="E384" s="11">
        <v>82690</v>
      </c>
      <c r="F384" s="11">
        <v>0</v>
      </c>
      <c r="G384" s="11">
        <v>0</v>
      </c>
      <c r="H384" s="11">
        <v>94995</v>
      </c>
      <c r="I384" s="11">
        <v>0</v>
      </c>
      <c r="J384" s="11">
        <v>0</v>
      </c>
      <c r="K384" s="11">
        <v>63330</v>
      </c>
      <c r="L384" s="11">
        <v>0</v>
      </c>
      <c r="M384" s="28">
        <f t="shared" si="57"/>
        <v>63330</v>
      </c>
      <c r="N384" s="28">
        <v>0</v>
      </c>
      <c r="O384" s="9">
        <f t="shared" si="53"/>
        <v>0.002146800474065613</v>
      </c>
    </row>
    <row r="385" spans="1:15" ht="17.25" customHeight="1">
      <c r="A385" s="21"/>
      <c r="B385" s="32" t="s">
        <v>64</v>
      </c>
      <c r="C385" s="11" t="s">
        <v>144</v>
      </c>
      <c r="D385" s="11"/>
      <c r="E385" s="11">
        <v>39235</v>
      </c>
      <c r="F385" s="11">
        <v>0</v>
      </c>
      <c r="G385" s="11">
        <v>0</v>
      </c>
      <c r="H385" s="11">
        <v>4194</v>
      </c>
      <c r="I385" s="11">
        <v>0</v>
      </c>
      <c r="J385" s="11">
        <v>0</v>
      </c>
      <c r="K385" s="11">
        <v>8500</v>
      </c>
      <c r="L385" s="11">
        <v>0</v>
      </c>
      <c r="M385" s="28">
        <f t="shared" si="57"/>
        <v>8500</v>
      </c>
      <c r="N385" s="28">
        <v>0</v>
      </c>
      <c r="O385" s="9">
        <f t="shared" si="53"/>
        <v>0.0002881383866975795</v>
      </c>
    </row>
    <row r="386" spans="1:15" ht="18.75" customHeight="1">
      <c r="A386" s="21"/>
      <c r="B386" s="32" t="s">
        <v>66</v>
      </c>
      <c r="C386" s="11" t="s">
        <v>67</v>
      </c>
      <c r="D386" s="11"/>
      <c r="E386" s="11">
        <v>2500</v>
      </c>
      <c r="F386" s="11">
        <v>0</v>
      </c>
      <c r="G386" s="11">
        <v>0</v>
      </c>
      <c r="H386" s="11">
        <v>2100</v>
      </c>
      <c r="I386" s="11">
        <v>0</v>
      </c>
      <c r="J386" s="11">
        <v>0</v>
      </c>
      <c r="K386" s="11">
        <v>500</v>
      </c>
      <c r="L386" s="11">
        <v>0</v>
      </c>
      <c r="M386" s="28">
        <f t="shared" si="57"/>
        <v>500</v>
      </c>
      <c r="N386" s="28">
        <v>0</v>
      </c>
      <c r="O386" s="9">
        <f t="shared" si="53"/>
        <v>1.69493168645635E-05</v>
      </c>
    </row>
    <row r="387" spans="1:15" ht="21.75" customHeight="1" hidden="1">
      <c r="A387" s="21"/>
      <c r="B387" s="32" t="s">
        <v>68</v>
      </c>
      <c r="C387" s="11" t="s">
        <v>69</v>
      </c>
      <c r="D387" s="11"/>
      <c r="E387" s="11">
        <v>3300</v>
      </c>
      <c r="F387" s="11">
        <v>0</v>
      </c>
      <c r="G387" s="11">
        <v>0</v>
      </c>
      <c r="H387" s="11">
        <v>720</v>
      </c>
      <c r="I387" s="11">
        <v>0</v>
      </c>
      <c r="J387" s="11">
        <v>0</v>
      </c>
      <c r="K387" s="11">
        <v>0</v>
      </c>
      <c r="L387" s="11">
        <v>0</v>
      </c>
      <c r="M387" s="28">
        <f t="shared" si="57"/>
        <v>0</v>
      </c>
      <c r="N387" s="28">
        <v>0</v>
      </c>
      <c r="O387" s="9">
        <f t="shared" si="53"/>
        <v>0</v>
      </c>
    </row>
    <row r="388" spans="1:15" ht="15.75" customHeight="1">
      <c r="A388" s="21"/>
      <c r="B388" s="32" t="s">
        <v>70</v>
      </c>
      <c r="C388" s="11" t="s">
        <v>71</v>
      </c>
      <c r="D388" s="11"/>
      <c r="E388" s="11">
        <v>50719</v>
      </c>
      <c r="F388" s="11">
        <v>0</v>
      </c>
      <c r="G388" s="11">
        <v>0</v>
      </c>
      <c r="H388" s="11">
        <v>18846</v>
      </c>
      <c r="I388" s="11">
        <v>222</v>
      </c>
      <c r="J388" s="11">
        <v>0</v>
      </c>
      <c r="K388" s="11">
        <v>14000</v>
      </c>
      <c r="L388" s="11">
        <v>0</v>
      </c>
      <c r="M388" s="28">
        <f t="shared" si="57"/>
        <v>14000</v>
      </c>
      <c r="N388" s="28">
        <v>0</v>
      </c>
      <c r="O388" s="9">
        <f t="shared" si="53"/>
        <v>0.000474580872207778</v>
      </c>
    </row>
    <row r="389" spans="1:15" ht="33.75" customHeight="1" hidden="1">
      <c r="A389" s="21"/>
      <c r="B389" s="32" t="s">
        <v>254</v>
      </c>
      <c r="C389" s="14" t="s">
        <v>255</v>
      </c>
      <c r="D389" s="11"/>
      <c r="E389" s="11">
        <v>60000</v>
      </c>
      <c r="F389" s="11">
        <v>0</v>
      </c>
      <c r="G389" s="11">
        <v>0</v>
      </c>
      <c r="H389" s="11">
        <v>69213</v>
      </c>
      <c r="I389" s="11">
        <v>0</v>
      </c>
      <c r="J389" s="11">
        <v>44006</v>
      </c>
      <c r="K389" s="11">
        <v>0</v>
      </c>
      <c r="L389" s="11">
        <v>0</v>
      </c>
      <c r="M389" s="28">
        <f t="shared" si="57"/>
        <v>0</v>
      </c>
      <c r="N389" s="28">
        <v>0</v>
      </c>
      <c r="O389" s="9">
        <f t="shared" si="53"/>
        <v>0</v>
      </c>
    </row>
    <row r="390" spans="1:15" ht="17.25" customHeight="1">
      <c r="A390" s="21" t="s">
        <v>256</v>
      </c>
      <c r="B390" s="21"/>
      <c r="C390" s="7" t="s">
        <v>257</v>
      </c>
      <c r="D390" s="10">
        <f>D391+D392+D393+D394</f>
        <v>722000</v>
      </c>
      <c r="E390" s="10" t="e">
        <f>E391+E392+E393+E394+E395+E397+E398+E399+E400+E401+#REF!+E402+E403+E404+E405+E406</f>
        <v>#REF!</v>
      </c>
      <c r="F390" s="10" t="e">
        <f>F391+F392+F393+F394+F395+F397+F398+F399+F400+F401+#REF!+F402+F403+F404+F405+F406</f>
        <v>#REF!</v>
      </c>
      <c r="G390" s="10" t="e">
        <f>G391+G392+G393+G394+G395+G397+G398+G399+G400+G401+#REF!+G402+G403+G404+G405+G406</f>
        <v>#REF!</v>
      </c>
      <c r="H390" s="10" t="e">
        <f>H391+H392+H393+H394+H395+H397+H398+H399+H400+H401+#REF!+H402+H403+H404+H405+H406+H396+#REF!</f>
        <v>#REF!</v>
      </c>
      <c r="I390" s="10" t="e">
        <f>I391+I392+I393+I394+I396+#REF!+I397+I398+I399+I400+I401+#REF!+I402+I403+I404+I405+I406</f>
        <v>#REF!</v>
      </c>
      <c r="J390" s="10" t="e">
        <f>J391+J392+J393+J394+J396+#REF!+J397+J398+J399+J400+J401+#REF!+J402+J403+J404+J405+J406</f>
        <v>#REF!</v>
      </c>
      <c r="K390" s="10">
        <f>K391+K392+K393+K394+K396+K397+K398+K399+K400+K401+K402+K403+K404+K405+K406+K407</f>
        <v>741000</v>
      </c>
      <c r="L390" s="10">
        <f>L391+L392+L393+L394+L396+L397+L398+L399+L400+L401+L402+L403+L404+L405+L406+L407</f>
        <v>0</v>
      </c>
      <c r="M390" s="10">
        <f>M391+M392+M393+M394+M396+M397+M398+M399+M400+M401+M402+M403+M404+M405+M406+M407</f>
        <v>741000</v>
      </c>
      <c r="N390" s="10">
        <f>N391+N392+N393+N394+N396+N397+N398+N399+N400+N401+N402+N403+N404+N405+N406+N407</f>
        <v>0</v>
      </c>
      <c r="O390" s="9">
        <f t="shared" si="53"/>
        <v>0.025118887593283106</v>
      </c>
    </row>
    <row r="391" spans="1:15" ht="27.75" customHeight="1">
      <c r="A391" s="501"/>
      <c r="B391" s="32" t="s">
        <v>48</v>
      </c>
      <c r="C391" s="14" t="s">
        <v>49</v>
      </c>
      <c r="D391" s="11">
        <v>365300</v>
      </c>
      <c r="E391" s="11">
        <v>330000</v>
      </c>
      <c r="F391" s="11">
        <v>17400</v>
      </c>
      <c r="G391" s="11">
        <v>0</v>
      </c>
      <c r="H391" s="11">
        <v>300650</v>
      </c>
      <c r="I391" s="11">
        <v>0</v>
      </c>
      <c r="J391" s="11">
        <v>0</v>
      </c>
      <c r="K391" s="11">
        <v>337482</v>
      </c>
      <c r="L391" s="11">
        <v>0</v>
      </c>
      <c r="M391" s="28">
        <f>K391</f>
        <v>337482</v>
      </c>
      <c r="N391" s="28">
        <v>0</v>
      </c>
      <c r="O391" s="9">
        <f t="shared" si="53"/>
        <v>0.01144017870817324</v>
      </c>
    </row>
    <row r="392" spans="1:15" ht="20.25" customHeight="1">
      <c r="A392" s="501"/>
      <c r="B392" s="32" t="s">
        <v>52</v>
      </c>
      <c r="C392" s="14" t="s">
        <v>53</v>
      </c>
      <c r="D392" s="11">
        <v>30580</v>
      </c>
      <c r="E392" s="11">
        <v>31050</v>
      </c>
      <c r="F392" s="11">
        <v>0</v>
      </c>
      <c r="G392" s="11">
        <v>0</v>
      </c>
      <c r="H392" s="11">
        <v>26960</v>
      </c>
      <c r="I392" s="11">
        <v>0</v>
      </c>
      <c r="J392" s="11">
        <v>0</v>
      </c>
      <c r="K392" s="11">
        <v>26000</v>
      </c>
      <c r="L392" s="11">
        <v>0</v>
      </c>
      <c r="M392" s="28">
        <f aca="true" t="shared" si="58" ref="M392:M406">K392</f>
        <v>26000</v>
      </c>
      <c r="N392" s="28">
        <v>0</v>
      </c>
      <c r="O392" s="9">
        <f t="shared" si="53"/>
        <v>0.000881364476957302</v>
      </c>
    </row>
    <row r="393" spans="1:15" ht="18" customHeight="1">
      <c r="A393" s="501"/>
      <c r="B393" s="29" t="s">
        <v>106</v>
      </c>
      <c r="C393" s="14" t="s">
        <v>122</v>
      </c>
      <c r="D393" s="11">
        <v>77860</v>
      </c>
      <c r="E393" s="11">
        <v>64495</v>
      </c>
      <c r="F393" s="11">
        <v>0</v>
      </c>
      <c r="G393" s="11">
        <v>0</v>
      </c>
      <c r="H393" s="11">
        <v>58500</v>
      </c>
      <c r="I393" s="11">
        <v>0</v>
      </c>
      <c r="J393" s="11">
        <v>0</v>
      </c>
      <c r="K393" s="11">
        <v>73896</v>
      </c>
      <c r="L393" s="11">
        <v>0</v>
      </c>
      <c r="M393" s="28">
        <f t="shared" si="58"/>
        <v>73896</v>
      </c>
      <c r="N393" s="28">
        <v>0</v>
      </c>
      <c r="O393" s="9">
        <f t="shared" si="53"/>
        <v>0.002504973438047569</v>
      </c>
    </row>
    <row r="394" spans="1:15" ht="18" customHeight="1">
      <c r="A394" s="501"/>
      <c r="B394" s="32" t="s">
        <v>56</v>
      </c>
      <c r="C394" s="11" t="s">
        <v>57</v>
      </c>
      <c r="D394" s="11">
        <v>248260</v>
      </c>
      <c r="E394" s="11">
        <v>8850</v>
      </c>
      <c r="F394" s="11">
        <v>0</v>
      </c>
      <c r="G394" s="11">
        <v>0</v>
      </c>
      <c r="H394" s="11">
        <v>8000</v>
      </c>
      <c r="I394" s="11">
        <v>0</v>
      </c>
      <c r="J394" s="11">
        <v>0</v>
      </c>
      <c r="K394" s="11">
        <v>8905</v>
      </c>
      <c r="L394" s="11">
        <v>0</v>
      </c>
      <c r="M394" s="28">
        <f t="shared" si="58"/>
        <v>8905</v>
      </c>
      <c r="N394" s="28">
        <v>0</v>
      </c>
      <c r="O394" s="9">
        <f t="shared" si="53"/>
        <v>0.00030186733335787596</v>
      </c>
    </row>
    <row r="395" spans="1:15" ht="12.75" customHeight="1" hidden="1">
      <c r="A395" s="27"/>
      <c r="B395" s="32"/>
      <c r="C395" s="11" t="s">
        <v>97</v>
      </c>
      <c r="D395" s="11"/>
      <c r="E395" s="11">
        <v>8200</v>
      </c>
      <c r="F395" s="11">
        <v>0</v>
      </c>
      <c r="G395" s="11">
        <v>0</v>
      </c>
      <c r="H395" s="11">
        <v>0</v>
      </c>
      <c r="I395" s="11">
        <v>0</v>
      </c>
      <c r="J395" s="11">
        <v>0</v>
      </c>
      <c r="K395" s="11"/>
      <c r="L395" s="11">
        <v>0</v>
      </c>
      <c r="M395" s="28">
        <f t="shared" si="58"/>
        <v>0</v>
      </c>
      <c r="N395" s="28">
        <v>0</v>
      </c>
      <c r="O395" s="9">
        <f t="shared" si="53"/>
        <v>0</v>
      </c>
    </row>
    <row r="396" spans="1:15" ht="20.25" customHeight="1" hidden="1">
      <c r="A396" s="27"/>
      <c r="B396" s="32" t="s">
        <v>44</v>
      </c>
      <c r="C396" s="11" t="s">
        <v>258</v>
      </c>
      <c r="D396" s="11"/>
      <c r="E396" s="11"/>
      <c r="F396" s="11"/>
      <c r="G396" s="11"/>
      <c r="H396" s="11">
        <v>3452</v>
      </c>
      <c r="I396" s="11">
        <v>0</v>
      </c>
      <c r="J396" s="11">
        <v>0</v>
      </c>
      <c r="K396" s="11">
        <v>0</v>
      </c>
      <c r="L396" s="11">
        <v>0</v>
      </c>
      <c r="M396" s="28">
        <f t="shared" si="58"/>
        <v>0</v>
      </c>
      <c r="N396" s="28">
        <v>0</v>
      </c>
      <c r="O396" s="9">
        <f t="shared" si="53"/>
        <v>0</v>
      </c>
    </row>
    <row r="397" spans="1:15" ht="17.25" customHeight="1">
      <c r="A397" s="27"/>
      <c r="B397" s="32" t="s">
        <v>66</v>
      </c>
      <c r="C397" s="11" t="s">
        <v>67</v>
      </c>
      <c r="D397" s="11"/>
      <c r="E397" s="11">
        <v>1000</v>
      </c>
      <c r="F397" s="11">
        <v>0</v>
      </c>
      <c r="G397" s="11">
        <v>0</v>
      </c>
      <c r="H397" s="11">
        <v>1500</v>
      </c>
      <c r="I397" s="24">
        <v>0</v>
      </c>
      <c r="J397" s="24">
        <v>0</v>
      </c>
      <c r="K397" s="24">
        <v>1000</v>
      </c>
      <c r="L397" s="11">
        <v>0</v>
      </c>
      <c r="M397" s="28">
        <f t="shared" si="58"/>
        <v>1000</v>
      </c>
      <c r="N397" s="28">
        <v>0</v>
      </c>
      <c r="O397" s="9">
        <f t="shared" si="53"/>
        <v>3.3898633729127E-05</v>
      </c>
    </row>
    <row r="398" spans="1:15" ht="17.25" customHeight="1">
      <c r="A398" s="27"/>
      <c r="B398" s="32" t="s">
        <v>58</v>
      </c>
      <c r="C398" s="11" t="s">
        <v>180</v>
      </c>
      <c r="D398" s="11"/>
      <c r="E398" s="11">
        <v>6795</v>
      </c>
      <c r="F398" s="11">
        <v>474</v>
      </c>
      <c r="G398" s="11">
        <v>0</v>
      </c>
      <c r="H398" s="11">
        <v>67775</v>
      </c>
      <c r="I398" s="24">
        <v>0</v>
      </c>
      <c r="J398" s="24">
        <v>0</v>
      </c>
      <c r="K398" s="24">
        <v>17887</v>
      </c>
      <c r="L398" s="11">
        <v>0</v>
      </c>
      <c r="M398" s="28">
        <f t="shared" si="58"/>
        <v>17887</v>
      </c>
      <c r="N398" s="28">
        <v>0</v>
      </c>
      <c r="O398" s="9">
        <f t="shared" si="53"/>
        <v>0.0006063448615128946</v>
      </c>
    </row>
    <row r="399" spans="1:15" ht="16.5" customHeight="1">
      <c r="A399" s="27"/>
      <c r="B399" s="32" t="s">
        <v>138</v>
      </c>
      <c r="C399" s="11" t="s">
        <v>252</v>
      </c>
      <c r="D399" s="11"/>
      <c r="E399" s="11">
        <v>40000</v>
      </c>
      <c r="F399" s="11">
        <v>10000</v>
      </c>
      <c r="G399" s="11">
        <v>0</v>
      </c>
      <c r="H399" s="11">
        <v>102000</v>
      </c>
      <c r="I399" s="24">
        <v>0</v>
      </c>
      <c r="J399" s="24">
        <v>0</v>
      </c>
      <c r="K399" s="24">
        <v>89100</v>
      </c>
      <c r="L399" s="11">
        <v>0</v>
      </c>
      <c r="M399" s="28">
        <f t="shared" si="58"/>
        <v>89100</v>
      </c>
      <c r="N399" s="28">
        <v>0</v>
      </c>
      <c r="O399" s="9">
        <f t="shared" si="53"/>
        <v>0.003020368265265216</v>
      </c>
    </row>
    <row r="400" spans="1:15" ht="16.5" customHeight="1">
      <c r="A400" s="27"/>
      <c r="B400" s="32" t="s">
        <v>259</v>
      </c>
      <c r="C400" s="11" t="s">
        <v>260</v>
      </c>
      <c r="D400" s="11"/>
      <c r="E400" s="11">
        <v>4000</v>
      </c>
      <c r="F400" s="11">
        <v>0</v>
      </c>
      <c r="G400" s="11">
        <v>0</v>
      </c>
      <c r="H400" s="11">
        <v>4000</v>
      </c>
      <c r="I400" s="24">
        <v>0</v>
      </c>
      <c r="J400" s="24">
        <v>0</v>
      </c>
      <c r="K400" s="24">
        <v>5800</v>
      </c>
      <c r="L400" s="11">
        <v>0</v>
      </c>
      <c r="M400" s="28">
        <f t="shared" si="58"/>
        <v>5800</v>
      </c>
      <c r="N400" s="28">
        <v>0</v>
      </c>
      <c r="O400" s="9">
        <f t="shared" si="53"/>
        <v>0.0001966120756289366</v>
      </c>
    </row>
    <row r="401" spans="1:15" ht="17.25" customHeight="1">
      <c r="A401" s="27"/>
      <c r="B401" s="32" t="s">
        <v>60</v>
      </c>
      <c r="C401" s="11" t="s">
        <v>142</v>
      </c>
      <c r="D401" s="11"/>
      <c r="E401" s="11">
        <v>62480</v>
      </c>
      <c r="F401" s="11">
        <v>4000</v>
      </c>
      <c r="G401" s="11">
        <v>0</v>
      </c>
      <c r="H401" s="11">
        <v>117000</v>
      </c>
      <c r="I401" s="24">
        <v>0</v>
      </c>
      <c r="J401" s="24">
        <v>0</v>
      </c>
      <c r="K401" s="24">
        <v>89314</v>
      </c>
      <c r="L401" s="11">
        <v>0</v>
      </c>
      <c r="M401" s="28">
        <f t="shared" si="58"/>
        <v>89314</v>
      </c>
      <c r="N401" s="28">
        <v>0</v>
      </c>
      <c r="O401" s="9">
        <f t="shared" si="53"/>
        <v>0.003027622572883249</v>
      </c>
    </row>
    <row r="402" spans="1:15" ht="17.25" customHeight="1">
      <c r="A402" s="27"/>
      <c r="B402" s="32" t="s">
        <v>64</v>
      </c>
      <c r="C402" s="11" t="s">
        <v>144</v>
      </c>
      <c r="D402" s="11"/>
      <c r="E402" s="11">
        <v>5000</v>
      </c>
      <c r="F402" s="11">
        <v>0</v>
      </c>
      <c r="G402" s="11">
        <v>0</v>
      </c>
      <c r="H402" s="11">
        <v>34100</v>
      </c>
      <c r="I402" s="24">
        <v>0</v>
      </c>
      <c r="J402" s="24">
        <v>0</v>
      </c>
      <c r="K402" s="24">
        <v>22994</v>
      </c>
      <c r="L402" s="11">
        <v>0</v>
      </c>
      <c r="M402" s="28">
        <f t="shared" si="58"/>
        <v>22994</v>
      </c>
      <c r="N402" s="28">
        <v>0</v>
      </c>
      <c r="O402" s="9">
        <f t="shared" si="53"/>
        <v>0.0007794651839675463</v>
      </c>
    </row>
    <row r="403" spans="1:15" ht="15.75" customHeight="1">
      <c r="A403" s="27"/>
      <c r="B403" s="32" t="s">
        <v>68</v>
      </c>
      <c r="C403" s="11" t="s">
        <v>69</v>
      </c>
      <c r="D403" s="11"/>
      <c r="E403" s="11">
        <v>2000</v>
      </c>
      <c r="F403" s="11">
        <v>0</v>
      </c>
      <c r="G403" s="11">
        <v>400</v>
      </c>
      <c r="H403" s="11">
        <v>1854</v>
      </c>
      <c r="I403" s="11">
        <v>0</v>
      </c>
      <c r="J403" s="11">
        <v>0</v>
      </c>
      <c r="K403" s="11">
        <v>2100</v>
      </c>
      <c r="L403" s="11">
        <v>0</v>
      </c>
      <c r="M403" s="28">
        <f t="shared" si="58"/>
        <v>2100</v>
      </c>
      <c r="N403" s="28">
        <v>0</v>
      </c>
      <c r="O403" s="9">
        <f t="shared" si="53"/>
        <v>7.11871308311667E-05</v>
      </c>
    </row>
    <row r="404" spans="1:15" ht="15.75" customHeight="1">
      <c r="A404" s="27"/>
      <c r="B404" s="32" t="s">
        <v>70</v>
      </c>
      <c r="C404" s="11" t="s">
        <v>71</v>
      </c>
      <c r="D404" s="11"/>
      <c r="E404" s="11">
        <v>13110</v>
      </c>
      <c r="F404" s="11">
        <v>0</v>
      </c>
      <c r="G404" s="11">
        <v>0</v>
      </c>
      <c r="H404" s="11">
        <v>14000</v>
      </c>
      <c r="I404" s="11">
        <v>0</v>
      </c>
      <c r="J404" s="11">
        <v>0</v>
      </c>
      <c r="K404" s="11">
        <v>14000</v>
      </c>
      <c r="L404" s="11">
        <v>0</v>
      </c>
      <c r="M404" s="28">
        <f t="shared" si="58"/>
        <v>14000</v>
      </c>
      <c r="N404" s="28">
        <v>0</v>
      </c>
      <c r="O404" s="9">
        <f t="shared" si="53"/>
        <v>0.000474580872207778</v>
      </c>
    </row>
    <row r="405" spans="1:15" ht="18" customHeight="1">
      <c r="A405" s="27"/>
      <c r="B405" s="32" t="s">
        <v>86</v>
      </c>
      <c r="C405" s="11" t="s">
        <v>87</v>
      </c>
      <c r="D405" s="11"/>
      <c r="E405" s="11">
        <v>1000</v>
      </c>
      <c r="F405" s="11">
        <v>0</v>
      </c>
      <c r="G405" s="11">
        <v>60</v>
      </c>
      <c r="H405" s="11">
        <v>1050</v>
      </c>
      <c r="I405" s="11">
        <v>0</v>
      </c>
      <c r="J405" s="11">
        <v>0</v>
      </c>
      <c r="K405" s="11">
        <v>1100</v>
      </c>
      <c r="L405" s="11">
        <v>0</v>
      </c>
      <c r="M405" s="28">
        <f t="shared" si="58"/>
        <v>1100</v>
      </c>
      <c r="N405" s="28">
        <v>0</v>
      </c>
      <c r="O405" s="9">
        <f t="shared" si="53"/>
        <v>3.72884971020397E-05</v>
      </c>
    </row>
    <row r="406" spans="1:15" ht="16.5" customHeight="1">
      <c r="A406" s="27"/>
      <c r="B406" s="32" t="s">
        <v>148</v>
      </c>
      <c r="C406" s="11" t="s">
        <v>149</v>
      </c>
      <c r="D406" s="11"/>
      <c r="E406" s="11">
        <v>500</v>
      </c>
      <c r="F406" s="11">
        <v>0</v>
      </c>
      <c r="G406" s="11">
        <v>70</v>
      </c>
      <c r="H406" s="11">
        <v>427</v>
      </c>
      <c r="I406" s="11">
        <v>0</v>
      </c>
      <c r="J406" s="11">
        <v>0</v>
      </c>
      <c r="K406" s="11">
        <v>427</v>
      </c>
      <c r="L406" s="11">
        <v>0</v>
      </c>
      <c r="M406" s="28">
        <f t="shared" si="58"/>
        <v>427</v>
      </c>
      <c r="N406" s="28">
        <v>0</v>
      </c>
      <c r="O406" s="9">
        <f t="shared" si="53"/>
        <v>1.4474716602337229E-05</v>
      </c>
    </row>
    <row r="407" spans="1:15" ht="16.5" customHeight="1">
      <c r="A407" s="27"/>
      <c r="B407" s="32" t="s">
        <v>62</v>
      </c>
      <c r="C407" s="11" t="s">
        <v>143</v>
      </c>
      <c r="D407" s="11"/>
      <c r="E407" s="11"/>
      <c r="F407" s="11"/>
      <c r="G407" s="11"/>
      <c r="H407" s="11"/>
      <c r="I407" s="11"/>
      <c r="J407" s="11"/>
      <c r="K407" s="11">
        <v>50995</v>
      </c>
      <c r="L407" s="11">
        <v>0</v>
      </c>
      <c r="M407" s="28">
        <f>K407</f>
        <v>50995</v>
      </c>
      <c r="N407" s="28">
        <v>0</v>
      </c>
      <c r="O407" s="9">
        <f t="shared" si="53"/>
        <v>0.0017286608270168315</v>
      </c>
    </row>
    <row r="408" spans="1:15" ht="19.5" customHeight="1">
      <c r="A408" s="30" t="s">
        <v>261</v>
      </c>
      <c r="B408" s="32"/>
      <c r="C408" s="7" t="s">
        <v>262</v>
      </c>
      <c r="D408" s="10">
        <f>D409</f>
        <v>1308000</v>
      </c>
      <c r="E408" s="10">
        <f>E409</f>
        <v>1138000</v>
      </c>
      <c r="F408" s="10">
        <f>F409</f>
        <v>0</v>
      </c>
      <c r="G408" s="10">
        <f>G409</f>
        <v>0</v>
      </c>
      <c r="H408" s="10">
        <f aca="true" t="shared" si="59" ref="H408:N408">H409+H410</f>
        <v>683937</v>
      </c>
      <c r="I408" s="10">
        <f t="shared" si="59"/>
        <v>44006</v>
      </c>
      <c r="J408" s="10">
        <f t="shared" si="59"/>
        <v>0</v>
      </c>
      <c r="K408" s="10">
        <f t="shared" si="59"/>
        <v>432924</v>
      </c>
      <c r="L408" s="10">
        <f t="shared" si="59"/>
        <v>0</v>
      </c>
      <c r="M408" s="10">
        <f t="shared" si="59"/>
        <v>432924</v>
      </c>
      <c r="N408" s="10">
        <f t="shared" si="59"/>
        <v>0</v>
      </c>
      <c r="O408" s="9">
        <f t="shared" si="53"/>
        <v>0.014675532108548578</v>
      </c>
    </row>
    <row r="409" spans="1:15" ht="13.5" customHeight="1">
      <c r="A409" s="30"/>
      <c r="B409" s="32" t="s">
        <v>250</v>
      </c>
      <c r="C409" s="33" t="s">
        <v>251</v>
      </c>
      <c r="D409" s="24">
        <v>1308000</v>
      </c>
      <c r="E409" s="24">
        <v>1138000</v>
      </c>
      <c r="F409" s="24">
        <v>0</v>
      </c>
      <c r="G409" s="24">
        <v>0</v>
      </c>
      <c r="H409" s="24">
        <v>669348</v>
      </c>
      <c r="I409" s="11">
        <v>44006</v>
      </c>
      <c r="J409" s="11">
        <v>0</v>
      </c>
      <c r="K409" s="11">
        <v>416714</v>
      </c>
      <c r="L409" s="24">
        <v>0</v>
      </c>
      <c r="M409" s="25">
        <f>K409</f>
        <v>416714</v>
      </c>
      <c r="N409" s="25">
        <v>0</v>
      </c>
      <c r="O409" s="9">
        <f t="shared" si="53"/>
        <v>0.014126035255799429</v>
      </c>
    </row>
    <row r="410" spans="1:15" ht="16.5" customHeight="1">
      <c r="A410" s="30"/>
      <c r="B410" s="32" t="s">
        <v>58</v>
      </c>
      <c r="C410" s="33" t="s">
        <v>85</v>
      </c>
      <c r="D410" s="24"/>
      <c r="E410" s="24"/>
      <c r="F410" s="24"/>
      <c r="G410" s="24"/>
      <c r="H410" s="24">
        <v>14589</v>
      </c>
      <c r="I410" s="11">
        <v>0</v>
      </c>
      <c r="J410" s="11">
        <v>0</v>
      </c>
      <c r="K410" s="11">
        <v>16210</v>
      </c>
      <c r="L410" s="24">
        <v>0</v>
      </c>
      <c r="M410" s="25">
        <f>K410</f>
        <v>16210</v>
      </c>
      <c r="N410" s="25">
        <v>0</v>
      </c>
      <c r="O410" s="9">
        <f t="shared" si="53"/>
        <v>0.0005494968527491487</v>
      </c>
    </row>
    <row r="411" spans="1:15" ht="15.75" customHeight="1">
      <c r="A411" s="30" t="s">
        <v>263</v>
      </c>
      <c r="B411" s="32"/>
      <c r="C411" s="7" t="s">
        <v>264</v>
      </c>
      <c r="D411" s="10">
        <f aca="true" t="shared" si="60" ref="D411:N411">D412</f>
        <v>102900</v>
      </c>
      <c r="E411" s="10">
        <f t="shared" si="60"/>
        <v>120250</v>
      </c>
      <c r="F411" s="10">
        <f t="shared" si="60"/>
        <v>0</v>
      </c>
      <c r="G411" s="10">
        <f t="shared" si="60"/>
        <v>0</v>
      </c>
      <c r="H411" s="10">
        <f t="shared" si="60"/>
        <v>59964</v>
      </c>
      <c r="I411" s="10">
        <f>I412</f>
        <v>0</v>
      </c>
      <c r="J411" s="10">
        <f>J412</f>
        <v>0</v>
      </c>
      <c r="K411" s="10">
        <f>K412</f>
        <v>43700</v>
      </c>
      <c r="L411" s="10">
        <f t="shared" si="60"/>
        <v>43700</v>
      </c>
      <c r="M411" s="23">
        <f t="shared" si="60"/>
        <v>0</v>
      </c>
      <c r="N411" s="23">
        <f t="shared" si="60"/>
        <v>0</v>
      </c>
      <c r="O411" s="9">
        <f t="shared" si="53"/>
        <v>0.00148137029396285</v>
      </c>
    </row>
    <row r="412" spans="1:15" ht="14.25" customHeight="1">
      <c r="A412" s="27"/>
      <c r="B412" s="32" t="s">
        <v>250</v>
      </c>
      <c r="C412" s="11" t="s">
        <v>251</v>
      </c>
      <c r="D412" s="11">
        <v>102900</v>
      </c>
      <c r="E412" s="11">
        <v>120250</v>
      </c>
      <c r="F412" s="11">
        <v>0</v>
      </c>
      <c r="G412" s="11">
        <v>0</v>
      </c>
      <c r="H412" s="11">
        <v>59964</v>
      </c>
      <c r="I412" s="11">
        <v>0</v>
      </c>
      <c r="J412" s="11">
        <v>0</v>
      </c>
      <c r="K412" s="11">
        <v>43700</v>
      </c>
      <c r="L412" s="11">
        <f>K412</f>
        <v>43700</v>
      </c>
      <c r="M412" s="28">
        <v>0</v>
      </c>
      <c r="N412" s="28">
        <v>0</v>
      </c>
      <c r="O412" s="9">
        <f t="shared" si="53"/>
        <v>0.00148137029396285</v>
      </c>
    </row>
    <row r="413" spans="1:15" ht="28.5" customHeight="1">
      <c r="A413" s="30" t="s">
        <v>265</v>
      </c>
      <c r="B413" s="32"/>
      <c r="C413" s="7" t="s">
        <v>266</v>
      </c>
      <c r="D413" s="10">
        <f>D414+D415+D416+D418</f>
        <v>134584</v>
      </c>
      <c r="E413" s="10">
        <f>E414+E415+E416+E417+E418+E419+E420+E421+E422+E423</f>
        <v>185500</v>
      </c>
      <c r="F413" s="10">
        <f>F414+F415+F416+F417+F418+F419+F420+F421+F422+F423</f>
        <v>5714</v>
      </c>
      <c r="G413" s="10">
        <f>G414+G415+G416+G417+G418+G419+G420+G421+G422+G423</f>
        <v>2671</v>
      </c>
      <c r="H413" s="10">
        <f>H414+H415+H416+H417+H418+H419+H420+H421+H422+H423</f>
        <v>118270</v>
      </c>
      <c r="I413" s="10">
        <f>I414+I415+I416+I417+I419+I420+I421+I422+I423</f>
        <v>1200</v>
      </c>
      <c r="J413" s="10">
        <f>J414+J415+J416+J417+J419+J420+J421+J422+J423</f>
        <v>1200</v>
      </c>
      <c r="K413" s="10">
        <f>K414+K415+K416+K417+K419+K420+K421+K422+K423</f>
        <v>132083</v>
      </c>
      <c r="L413" s="10">
        <f>L414+L415+L416+L417+L419+L420+L421+L422+L423</f>
        <v>26958</v>
      </c>
      <c r="M413" s="23">
        <f>M414+M415+M416+M417+M418+M419+M420+M421+M422+M423</f>
        <v>105125</v>
      </c>
      <c r="N413" s="23">
        <f>N414+N415+N416+N417+N418</f>
        <v>0</v>
      </c>
      <c r="O413" s="9">
        <f t="shared" si="53"/>
        <v>0.0044774332388442814</v>
      </c>
    </row>
    <row r="414" spans="1:15" ht="27" customHeight="1">
      <c r="A414" s="501"/>
      <c r="B414" s="32" t="s">
        <v>48</v>
      </c>
      <c r="C414" s="14" t="s">
        <v>49</v>
      </c>
      <c r="D414" s="11">
        <v>85744</v>
      </c>
      <c r="E414" s="11">
        <v>121480</v>
      </c>
      <c r="F414" s="11">
        <v>0</v>
      </c>
      <c r="G414" s="11">
        <v>2671</v>
      </c>
      <c r="H414" s="11">
        <v>66365</v>
      </c>
      <c r="I414" s="11">
        <v>0</v>
      </c>
      <c r="J414" s="11">
        <v>0</v>
      </c>
      <c r="K414" s="11">
        <v>72999</v>
      </c>
      <c r="L414" s="11">
        <v>16000</v>
      </c>
      <c r="M414" s="28">
        <f>K414-L414</f>
        <v>56999</v>
      </c>
      <c r="N414" s="28">
        <v>0</v>
      </c>
      <c r="O414" s="9">
        <f t="shared" si="53"/>
        <v>0.002474566363592542</v>
      </c>
    </row>
    <row r="415" spans="1:15" ht="15" customHeight="1">
      <c r="A415" s="501"/>
      <c r="B415" s="32" t="s">
        <v>52</v>
      </c>
      <c r="C415" s="14" t="s">
        <v>53</v>
      </c>
      <c r="D415" s="11">
        <v>4800</v>
      </c>
      <c r="E415" s="11">
        <v>6578</v>
      </c>
      <c r="F415" s="11">
        <v>0</v>
      </c>
      <c r="G415" s="11">
        <v>0</v>
      </c>
      <c r="H415" s="11">
        <v>8951</v>
      </c>
      <c r="I415" s="24">
        <v>0</v>
      </c>
      <c r="J415" s="24">
        <v>0</v>
      </c>
      <c r="K415" s="24">
        <v>4915</v>
      </c>
      <c r="L415" s="11">
        <v>1300</v>
      </c>
      <c r="M415" s="28">
        <f aca="true" t="shared" si="61" ref="M415:M423">K415-L415</f>
        <v>3615</v>
      </c>
      <c r="N415" s="28">
        <v>0</v>
      </c>
      <c r="O415" s="9">
        <f t="shared" si="53"/>
        <v>0.0001666117847786592</v>
      </c>
    </row>
    <row r="416" spans="1:15" ht="16.5" customHeight="1">
      <c r="A416" s="501"/>
      <c r="B416" s="39" t="s">
        <v>106</v>
      </c>
      <c r="C416" s="14" t="s">
        <v>83</v>
      </c>
      <c r="D416" s="11">
        <v>18394</v>
      </c>
      <c r="E416" s="11">
        <v>22179</v>
      </c>
      <c r="F416" s="11">
        <v>0</v>
      </c>
      <c r="G416" s="11">
        <v>0</v>
      </c>
      <c r="H416" s="11">
        <v>14328</v>
      </c>
      <c r="I416" s="24">
        <v>0</v>
      </c>
      <c r="J416" s="24">
        <v>0</v>
      </c>
      <c r="K416" s="24">
        <v>14370</v>
      </c>
      <c r="L416" s="11">
        <v>3000</v>
      </c>
      <c r="M416" s="28">
        <f t="shared" si="61"/>
        <v>11370</v>
      </c>
      <c r="N416" s="28">
        <v>0</v>
      </c>
      <c r="O416" s="9">
        <f t="shared" si="53"/>
        <v>0.000487123366687555</v>
      </c>
    </row>
    <row r="417" spans="1:15" ht="16.5" customHeight="1">
      <c r="A417" s="501"/>
      <c r="B417" s="39" t="s">
        <v>56</v>
      </c>
      <c r="C417" s="14" t="s">
        <v>57</v>
      </c>
      <c r="D417" s="11"/>
      <c r="E417" s="11">
        <v>3039</v>
      </c>
      <c r="F417" s="11">
        <v>0</v>
      </c>
      <c r="G417" s="11">
        <v>0</v>
      </c>
      <c r="H417" s="11">
        <v>1852</v>
      </c>
      <c r="I417" s="24">
        <v>0</v>
      </c>
      <c r="J417" s="24">
        <v>0</v>
      </c>
      <c r="K417" s="24">
        <v>1908</v>
      </c>
      <c r="L417" s="11">
        <v>400</v>
      </c>
      <c r="M417" s="28">
        <f t="shared" si="61"/>
        <v>1508</v>
      </c>
      <c r="N417" s="28">
        <v>0</v>
      </c>
      <c r="O417" s="9">
        <f t="shared" si="53"/>
        <v>6.467859315517432E-05</v>
      </c>
    </row>
    <row r="418" spans="1:15" ht="16.5" customHeight="1" hidden="1">
      <c r="A418" s="501"/>
      <c r="B418" s="32"/>
      <c r="C418" s="11" t="s">
        <v>97</v>
      </c>
      <c r="D418" s="11">
        <v>25646</v>
      </c>
      <c r="E418" s="11">
        <v>840</v>
      </c>
      <c r="F418" s="11">
        <v>0</v>
      </c>
      <c r="G418" s="11">
        <v>0</v>
      </c>
      <c r="H418" s="11">
        <v>0</v>
      </c>
      <c r="I418" s="24"/>
      <c r="J418" s="24"/>
      <c r="K418" s="24"/>
      <c r="L418" s="11"/>
      <c r="M418" s="28">
        <f t="shared" si="61"/>
        <v>0</v>
      </c>
      <c r="N418" s="28">
        <v>0</v>
      </c>
      <c r="O418" s="9">
        <f t="shared" si="53"/>
        <v>0</v>
      </c>
    </row>
    <row r="419" spans="1:15" ht="15.75" customHeight="1">
      <c r="A419" s="27"/>
      <c r="B419" s="32" t="s">
        <v>58</v>
      </c>
      <c r="C419" s="11" t="s">
        <v>180</v>
      </c>
      <c r="D419" s="11"/>
      <c r="E419" s="11">
        <v>5070</v>
      </c>
      <c r="F419" s="11">
        <v>500</v>
      </c>
      <c r="G419" s="11">
        <v>0</v>
      </c>
      <c r="H419" s="11">
        <v>3713</v>
      </c>
      <c r="I419" s="24">
        <v>0</v>
      </c>
      <c r="J419" s="24">
        <v>0</v>
      </c>
      <c r="K419" s="24">
        <v>8000</v>
      </c>
      <c r="L419" s="11">
        <v>1500</v>
      </c>
      <c r="M419" s="28">
        <f t="shared" si="61"/>
        <v>6500</v>
      </c>
      <c r="N419" s="28">
        <v>0</v>
      </c>
      <c r="O419" s="9">
        <f aca="true" t="shared" si="62" ref="O419:O482">K419/$K$549</f>
        <v>0.000271189069833016</v>
      </c>
    </row>
    <row r="420" spans="1:15" ht="16.5" customHeight="1">
      <c r="A420" s="27"/>
      <c r="B420" s="32" t="s">
        <v>60</v>
      </c>
      <c r="C420" s="11" t="s">
        <v>142</v>
      </c>
      <c r="D420" s="11"/>
      <c r="E420" s="11">
        <v>3015</v>
      </c>
      <c r="F420" s="11">
        <v>500</v>
      </c>
      <c r="G420" s="11">
        <v>0</v>
      </c>
      <c r="H420" s="11">
        <v>5625</v>
      </c>
      <c r="I420" s="24">
        <v>0</v>
      </c>
      <c r="J420" s="24">
        <v>0</v>
      </c>
      <c r="K420" s="24">
        <v>5666</v>
      </c>
      <c r="L420" s="11">
        <v>1000</v>
      </c>
      <c r="M420" s="28">
        <f t="shared" si="61"/>
        <v>4666</v>
      </c>
      <c r="N420" s="28">
        <v>0</v>
      </c>
      <c r="O420" s="9">
        <f t="shared" si="62"/>
        <v>0.0001920696587092336</v>
      </c>
    </row>
    <row r="421" spans="1:15" ht="16.5" customHeight="1">
      <c r="A421" s="27"/>
      <c r="B421" s="32" t="s">
        <v>64</v>
      </c>
      <c r="C421" s="11" t="s">
        <v>144</v>
      </c>
      <c r="D421" s="11"/>
      <c r="E421" s="11">
        <v>19008</v>
      </c>
      <c r="F421" s="11">
        <v>2043</v>
      </c>
      <c r="G421" s="11">
        <v>0</v>
      </c>
      <c r="H421" s="11">
        <v>13560</v>
      </c>
      <c r="I421" s="11">
        <v>1200</v>
      </c>
      <c r="J421" s="11">
        <v>0</v>
      </c>
      <c r="K421" s="11">
        <v>20250</v>
      </c>
      <c r="L421" s="11">
        <v>2658</v>
      </c>
      <c r="M421" s="28">
        <f t="shared" si="61"/>
        <v>17592</v>
      </c>
      <c r="N421" s="28">
        <v>0</v>
      </c>
      <c r="O421" s="9">
        <f t="shared" si="62"/>
        <v>0.0006864473330148217</v>
      </c>
    </row>
    <row r="422" spans="1:15" ht="17.25" customHeight="1">
      <c r="A422" s="27"/>
      <c r="B422" s="32" t="s">
        <v>66</v>
      </c>
      <c r="C422" s="11" t="s">
        <v>67</v>
      </c>
      <c r="D422" s="11"/>
      <c r="E422" s="11">
        <v>2618</v>
      </c>
      <c r="F422" s="11">
        <v>0</v>
      </c>
      <c r="G422" s="11">
        <v>0</v>
      </c>
      <c r="H422" s="11">
        <v>1900</v>
      </c>
      <c r="I422" s="11">
        <v>0</v>
      </c>
      <c r="J422" s="11">
        <v>1200</v>
      </c>
      <c r="K422" s="11">
        <v>1500</v>
      </c>
      <c r="L422" s="11">
        <v>500</v>
      </c>
      <c r="M422" s="28">
        <f t="shared" si="61"/>
        <v>1000</v>
      </c>
      <c r="N422" s="28">
        <v>0</v>
      </c>
      <c r="O422" s="9">
        <f t="shared" si="62"/>
        <v>5.0847950593690504E-05</v>
      </c>
    </row>
    <row r="423" spans="1:15" ht="18.75" customHeight="1">
      <c r="A423" s="27"/>
      <c r="B423" s="32" t="s">
        <v>70</v>
      </c>
      <c r="C423" s="11" t="s">
        <v>71</v>
      </c>
      <c r="D423" s="11"/>
      <c r="E423" s="11">
        <v>1673</v>
      </c>
      <c r="F423" s="11">
        <v>2671</v>
      </c>
      <c r="G423" s="11">
        <v>0</v>
      </c>
      <c r="H423" s="11">
        <v>1976</v>
      </c>
      <c r="I423" s="11">
        <v>0</v>
      </c>
      <c r="J423" s="11">
        <v>0</v>
      </c>
      <c r="K423" s="11">
        <v>2475</v>
      </c>
      <c r="L423" s="11">
        <v>600</v>
      </c>
      <c r="M423" s="28">
        <f t="shared" si="61"/>
        <v>1875</v>
      </c>
      <c r="N423" s="28">
        <v>0</v>
      </c>
      <c r="O423" s="9">
        <f t="shared" si="62"/>
        <v>8.389911847958933E-05</v>
      </c>
    </row>
    <row r="424" spans="1:15" ht="29.25" customHeight="1">
      <c r="A424" s="30" t="s">
        <v>267</v>
      </c>
      <c r="B424" s="21"/>
      <c r="C424" s="7" t="s">
        <v>268</v>
      </c>
      <c r="D424" s="10">
        <f>D426+D427</f>
        <v>8400</v>
      </c>
      <c r="E424" s="10">
        <f>E426+E427+E425</f>
        <v>23400</v>
      </c>
      <c r="F424" s="10">
        <f>F426+F425</f>
        <v>0</v>
      </c>
      <c r="G424" s="10">
        <f>G426+G425</f>
        <v>0</v>
      </c>
      <c r="H424" s="10">
        <f aca="true" t="shared" si="63" ref="H424:N424">H425</f>
        <v>29626</v>
      </c>
      <c r="I424" s="10">
        <f t="shared" si="63"/>
        <v>0</v>
      </c>
      <c r="J424" s="10">
        <f t="shared" si="63"/>
        <v>0</v>
      </c>
      <c r="K424" s="10">
        <f t="shared" si="63"/>
        <v>37238</v>
      </c>
      <c r="L424" s="10">
        <f t="shared" si="63"/>
        <v>0</v>
      </c>
      <c r="M424" s="10">
        <f t="shared" si="63"/>
        <v>0</v>
      </c>
      <c r="N424" s="10">
        <f t="shared" si="63"/>
        <v>37238</v>
      </c>
      <c r="O424" s="9">
        <f t="shared" si="62"/>
        <v>0.0012623173228052313</v>
      </c>
    </row>
    <row r="425" spans="1:15" ht="19.5" customHeight="1">
      <c r="A425" s="38"/>
      <c r="B425" s="34" t="s">
        <v>213</v>
      </c>
      <c r="C425" s="33" t="s">
        <v>269</v>
      </c>
      <c r="D425" s="24"/>
      <c r="E425" s="24">
        <v>23400</v>
      </c>
      <c r="F425" s="24">
        <v>0</v>
      </c>
      <c r="G425" s="24">
        <v>0</v>
      </c>
      <c r="H425" s="24">
        <v>29626</v>
      </c>
      <c r="I425" s="11">
        <v>0</v>
      </c>
      <c r="J425" s="11">
        <v>0</v>
      </c>
      <c r="K425" s="11">
        <v>37238</v>
      </c>
      <c r="L425" s="24">
        <v>0</v>
      </c>
      <c r="M425" s="25">
        <v>0</v>
      </c>
      <c r="N425" s="25">
        <f>K425</f>
        <v>37238</v>
      </c>
      <c r="O425" s="9">
        <f t="shared" si="62"/>
        <v>0.0012623173228052313</v>
      </c>
    </row>
    <row r="426" spans="1:15" ht="18.75" customHeight="1" hidden="1">
      <c r="A426" s="27"/>
      <c r="B426" s="32"/>
      <c r="C426" s="14" t="s">
        <v>97</v>
      </c>
      <c r="D426" s="11">
        <v>0</v>
      </c>
      <c r="E426" s="11">
        <v>0</v>
      </c>
      <c r="F426" s="11">
        <v>0</v>
      </c>
      <c r="G426" s="11">
        <v>0</v>
      </c>
      <c r="H426" s="11"/>
      <c r="I426" s="10">
        <f>I427+I428+I429+I430+I431+I433+I432</f>
        <v>1021</v>
      </c>
      <c r="J426" s="10">
        <f>J427+J428+J429+J430+J431+J433+J432</f>
        <v>631</v>
      </c>
      <c r="K426" s="10"/>
      <c r="L426" s="11"/>
      <c r="M426" s="28"/>
      <c r="N426" s="28"/>
      <c r="O426" s="9">
        <f t="shared" si="62"/>
        <v>0</v>
      </c>
    </row>
    <row r="427" spans="1:15" ht="39.75" customHeight="1" hidden="1">
      <c r="A427" s="27"/>
      <c r="B427" s="32" t="s">
        <v>213</v>
      </c>
      <c r="C427" s="14" t="s">
        <v>270</v>
      </c>
      <c r="D427" s="11">
        <v>8400</v>
      </c>
      <c r="E427" s="11">
        <v>0</v>
      </c>
      <c r="F427" s="11"/>
      <c r="G427" s="11"/>
      <c r="H427" s="11"/>
      <c r="I427" s="11">
        <v>0</v>
      </c>
      <c r="J427" s="11">
        <v>631</v>
      </c>
      <c r="K427" s="11"/>
      <c r="L427" s="11"/>
      <c r="M427" s="28"/>
      <c r="N427" s="28"/>
      <c r="O427" s="9">
        <f t="shared" si="62"/>
        <v>0</v>
      </c>
    </row>
    <row r="428" spans="1:15" ht="40.5" customHeight="1">
      <c r="A428" s="30" t="s">
        <v>271</v>
      </c>
      <c r="B428" s="27"/>
      <c r="C428" s="7" t="s">
        <v>272</v>
      </c>
      <c r="D428" s="10">
        <f>D430+D432+D434</f>
        <v>19873</v>
      </c>
      <c r="E428" s="10">
        <f>E430+E432+E433+E429</f>
        <v>20000</v>
      </c>
      <c r="F428" s="10">
        <f>F430+F432+F433+F429</f>
        <v>0</v>
      </c>
      <c r="G428" s="10">
        <f>G430+G432+G433+G429</f>
        <v>0</v>
      </c>
      <c r="H428" s="10">
        <f aca="true" t="shared" si="64" ref="H428:N428">H430+H431+H432+H433+H435</f>
        <v>12412</v>
      </c>
      <c r="I428" s="10">
        <f t="shared" si="64"/>
        <v>0</v>
      </c>
      <c r="J428" s="10">
        <f t="shared" si="64"/>
        <v>0</v>
      </c>
      <c r="K428" s="10">
        <f t="shared" si="64"/>
        <v>12412</v>
      </c>
      <c r="L428" s="10">
        <f t="shared" si="64"/>
        <v>0</v>
      </c>
      <c r="M428" s="10">
        <f t="shared" si="64"/>
        <v>12412</v>
      </c>
      <c r="N428" s="10">
        <f t="shared" si="64"/>
        <v>0</v>
      </c>
      <c r="O428" s="9">
        <f t="shared" si="62"/>
        <v>0.00042074984184592434</v>
      </c>
    </row>
    <row r="429" spans="1:15" ht="17.25" customHeight="1" hidden="1">
      <c r="A429" s="38"/>
      <c r="B429" s="38" t="s">
        <v>44</v>
      </c>
      <c r="C429" s="33" t="s">
        <v>236</v>
      </c>
      <c r="D429" s="24"/>
      <c r="E429" s="24">
        <v>1892</v>
      </c>
      <c r="F429" s="24">
        <v>0</v>
      </c>
      <c r="G429" s="24">
        <v>0</v>
      </c>
      <c r="H429" s="24"/>
      <c r="I429" s="11">
        <v>1021</v>
      </c>
      <c r="J429" s="11">
        <v>0</v>
      </c>
      <c r="K429" s="11"/>
      <c r="L429" s="24"/>
      <c r="M429" s="25"/>
      <c r="N429" s="25"/>
      <c r="O429" s="9">
        <f t="shared" si="62"/>
        <v>0</v>
      </c>
    </row>
    <row r="430" spans="1:15" ht="24" customHeight="1">
      <c r="A430" s="27"/>
      <c r="B430" s="27" t="s">
        <v>48</v>
      </c>
      <c r="C430" s="33" t="s">
        <v>49</v>
      </c>
      <c r="D430" s="11">
        <v>16515</v>
      </c>
      <c r="E430" s="11">
        <v>15028</v>
      </c>
      <c r="F430" s="11">
        <v>0</v>
      </c>
      <c r="G430" s="11">
        <v>0</v>
      </c>
      <c r="H430" s="11">
        <v>9008</v>
      </c>
      <c r="I430" s="11">
        <v>0</v>
      </c>
      <c r="J430" s="11">
        <v>0</v>
      </c>
      <c r="K430" s="11">
        <v>9550</v>
      </c>
      <c r="L430" s="11">
        <v>0</v>
      </c>
      <c r="M430" s="28">
        <f aca="true" t="shared" si="65" ref="M430:M435">K430</f>
        <v>9550</v>
      </c>
      <c r="N430" s="28">
        <v>0</v>
      </c>
      <c r="O430" s="9">
        <f t="shared" si="62"/>
        <v>0.00032373195211316284</v>
      </c>
    </row>
    <row r="431" spans="1:15" ht="17.25" customHeight="1">
      <c r="A431" s="27"/>
      <c r="B431" s="27" t="s">
        <v>52</v>
      </c>
      <c r="C431" s="33" t="s">
        <v>53</v>
      </c>
      <c r="D431" s="11"/>
      <c r="E431" s="11"/>
      <c r="F431" s="11"/>
      <c r="G431" s="11"/>
      <c r="H431" s="11">
        <v>1236</v>
      </c>
      <c r="I431" s="11">
        <v>0</v>
      </c>
      <c r="J431" s="11">
        <v>0</v>
      </c>
      <c r="K431" s="11">
        <v>765</v>
      </c>
      <c r="L431" s="11">
        <v>0</v>
      </c>
      <c r="M431" s="28">
        <f t="shared" si="65"/>
        <v>765</v>
      </c>
      <c r="N431" s="28">
        <v>0</v>
      </c>
      <c r="O431" s="9">
        <f t="shared" si="62"/>
        <v>2.5932454802782157E-05</v>
      </c>
    </row>
    <row r="432" spans="1:15" ht="18.75" customHeight="1">
      <c r="A432" s="27"/>
      <c r="B432" s="40" t="s">
        <v>82</v>
      </c>
      <c r="C432" s="33" t="s">
        <v>273</v>
      </c>
      <c r="D432" s="11">
        <v>3358</v>
      </c>
      <c r="E432" s="11">
        <v>2709</v>
      </c>
      <c r="F432" s="11">
        <v>0</v>
      </c>
      <c r="G432" s="11">
        <v>0</v>
      </c>
      <c r="H432" s="11">
        <v>1832</v>
      </c>
      <c r="I432" s="11">
        <v>0</v>
      </c>
      <c r="J432" s="11">
        <v>0</v>
      </c>
      <c r="K432" s="11">
        <v>1844</v>
      </c>
      <c r="L432" s="11">
        <v>0</v>
      </c>
      <c r="M432" s="28">
        <f t="shared" si="65"/>
        <v>1844</v>
      </c>
      <c r="N432" s="28">
        <v>0</v>
      </c>
      <c r="O432" s="9">
        <f t="shared" si="62"/>
        <v>6.250908059651019E-05</v>
      </c>
    </row>
    <row r="433" spans="1:15" ht="17.25" customHeight="1">
      <c r="A433" s="27"/>
      <c r="B433" s="40" t="s">
        <v>56</v>
      </c>
      <c r="C433" s="33" t="s">
        <v>57</v>
      </c>
      <c r="D433" s="11"/>
      <c r="E433" s="11">
        <v>371</v>
      </c>
      <c r="F433" s="11">
        <v>0</v>
      </c>
      <c r="G433" s="11">
        <v>0</v>
      </c>
      <c r="H433" s="11">
        <v>251</v>
      </c>
      <c r="I433" s="11">
        <v>0</v>
      </c>
      <c r="J433" s="11">
        <v>0</v>
      </c>
      <c r="K433" s="11">
        <v>253</v>
      </c>
      <c r="L433" s="11">
        <v>0</v>
      </c>
      <c r="M433" s="28">
        <f t="shared" si="65"/>
        <v>253</v>
      </c>
      <c r="N433" s="28">
        <v>0</v>
      </c>
      <c r="O433" s="9">
        <f t="shared" si="62"/>
        <v>8.576354333469132E-06</v>
      </c>
    </row>
    <row r="434" spans="1:15" ht="23.25" customHeight="1" hidden="1">
      <c r="A434" s="27"/>
      <c r="B434" s="27"/>
      <c r="C434" s="33" t="s">
        <v>175</v>
      </c>
      <c r="D434" s="11">
        <v>0</v>
      </c>
      <c r="E434" s="11">
        <v>0</v>
      </c>
      <c r="F434" s="11"/>
      <c r="G434" s="11"/>
      <c r="H434" s="11"/>
      <c r="I434" s="10" t="e">
        <f>I435+I436+I437+I438+I439+I440+I441+I442+I444+I445+I446+I447+I448</f>
        <v>#REF!</v>
      </c>
      <c r="J434" s="10" t="e">
        <f>J435+J436+J437+J438+J439+J440+J441+J442+J444+J445+J446+J447+J448</f>
        <v>#REF!</v>
      </c>
      <c r="K434" s="10"/>
      <c r="L434" s="11">
        <v>0</v>
      </c>
      <c r="M434" s="28">
        <f t="shared" si="65"/>
        <v>0</v>
      </c>
      <c r="N434" s="28">
        <v>0</v>
      </c>
      <c r="O434" s="9">
        <f t="shared" si="62"/>
        <v>0</v>
      </c>
    </row>
    <row r="435" spans="1:15" ht="18" customHeight="1" hidden="1">
      <c r="A435" s="27"/>
      <c r="B435" s="27" t="s">
        <v>58</v>
      </c>
      <c r="C435" s="33" t="s">
        <v>85</v>
      </c>
      <c r="D435" s="11"/>
      <c r="E435" s="11"/>
      <c r="F435" s="11"/>
      <c r="G435" s="11"/>
      <c r="H435" s="11">
        <v>85</v>
      </c>
      <c r="I435" s="11">
        <v>0</v>
      </c>
      <c r="J435" s="11">
        <v>0</v>
      </c>
      <c r="K435" s="11">
        <v>0</v>
      </c>
      <c r="L435" s="11">
        <v>0</v>
      </c>
      <c r="M435" s="28">
        <f t="shared" si="65"/>
        <v>0</v>
      </c>
      <c r="N435" s="28">
        <v>0</v>
      </c>
      <c r="O435" s="9">
        <f t="shared" si="62"/>
        <v>0</v>
      </c>
    </row>
    <row r="436" spans="1:15" ht="15" customHeight="1">
      <c r="A436" s="30" t="s">
        <v>274</v>
      </c>
      <c r="B436" s="30"/>
      <c r="C436" s="7" t="s">
        <v>275</v>
      </c>
      <c r="D436" s="10"/>
      <c r="E436" s="10">
        <f>E437+E438+E439+E441+E442+E446+E444</f>
        <v>22000</v>
      </c>
      <c r="F436" s="10">
        <f>F437+F438+F439+F441+F442+F446+F444</f>
        <v>6928</v>
      </c>
      <c r="G436" s="10">
        <f>G437+G438+G439+G441+G442+G446+G444</f>
        <v>6928</v>
      </c>
      <c r="H436" s="10">
        <f>H437+H438+H439+H441+H442+H444+H446+H440+H445</f>
        <v>41784</v>
      </c>
      <c r="I436" s="10">
        <f>I437+I440+I441+I442+I444+I445+I446</f>
        <v>0</v>
      </c>
      <c r="J436" s="10">
        <f>J437+J440+J441+J442+J444+J445+J446</f>
        <v>0</v>
      </c>
      <c r="K436" s="10">
        <f>K437+K440+K441+K442+K444+K445+K446+K443</f>
        <v>47286</v>
      </c>
      <c r="L436" s="10">
        <f>L437+L440+L441+L442+L444+L445+L446+L443</f>
        <v>0</v>
      </c>
      <c r="M436" s="10">
        <f>M437+M440+M441+M442+M444+M445+M446+M443</f>
        <v>47286</v>
      </c>
      <c r="N436" s="10">
        <f>N437+N440+N441+N442+N444+N445+N446+N443</f>
        <v>0</v>
      </c>
      <c r="O436" s="9">
        <f t="shared" si="62"/>
        <v>0.0016029307945154994</v>
      </c>
    </row>
    <row r="437" spans="1:15" ht="23.25" customHeight="1">
      <c r="A437" s="27"/>
      <c r="B437" s="27" t="s">
        <v>48</v>
      </c>
      <c r="C437" s="33" t="s">
        <v>49</v>
      </c>
      <c r="D437" s="11"/>
      <c r="E437" s="11">
        <v>14600</v>
      </c>
      <c r="F437" s="11">
        <v>0</v>
      </c>
      <c r="G437" s="11">
        <v>5468</v>
      </c>
      <c r="H437" s="11">
        <v>30071</v>
      </c>
      <c r="I437" s="11">
        <v>0</v>
      </c>
      <c r="J437" s="11">
        <v>0</v>
      </c>
      <c r="K437" s="11">
        <v>28440</v>
      </c>
      <c r="L437" s="11">
        <v>0</v>
      </c>
      <c r="M437" s="28">
        <f>K437</f>
        <v>28440</v>
      </c>
      <c r="N437" s="28">
        <v>0</v>
      </c>
      <c r="O437" s="9">
        <f t="shared" si="62"/>
        <v>0.0009640771432563719</v>
      </c>
    </row>
    <row r="438" spans="1:15" ht="12" customHeight="1" hidden="1">
      <c r="A438" s="27"/>
      <c r="B438" s="27" t="s">
        <v>66</v>
      </c>
      <c r="C438" s="33" t="s">
        <v>67</v>
      </c>
      <c r="D438" s="11"/>
      <c r="E438" s="11">
        <v>400</v>
      </c>
      <c r="F438" s="11">
        <v>0</v>
      </c>
      <c r="G438" s="11">
        <v>200</v>
      </c>
      <c r="H438" s="11"/>
      <c r="I438" s="11">
        <v>704</v>
      </c>
      <c r="J438" s="11">
        <v>0</v>
      </c>
      <c r="K438" s="11"/>
      <c r="L438" s="11"/>
      <c r="M438" s="28"/>
      <c r="N438" s="28"/>
      <c r="O438" s="9">
        <f t="shared" si="62"/>
        <v>0</v>
      </c>
    </row>
    <row r="439" spans="1:15" ht="15" customHeight="1" hidden="1">
      <c r="A439" s="27"/>
      <c r="B439" s="27" t="s">
        <v>58</v>
      </c>
      <c r="C439" s="33" t="s">
        <v>180</v>
      </c>
      <c r="D439" s="11"/>
      <c r="E439" s="11">
        <v>3517</v>
      </c>
      <c r="F439" s="11">
        <v>6628</v>
      </c>
      <c r="G439" s="11">
        <v>0</v>
      </c>
      <c r="H439" s="11"/>
      <c r="I439" s="11">
        <v>0</v>
      </c>
      <c r="J439" s="11">
        <v>0</v>
      </c>
      <c r="K439" s="11"/>
      <c r="L439" s="11"/>
      <c r="M439" s="28"/>
      <c r="N439" s="28"/>
      <c r="O439" s="9">
        <f t="shared" si="62"/>
        <v>0</v>
      </c>
    </row>
    <row r="440" spans="1:15" ht="15.75" customHeight="1">
      <c r="A440" s="27"/>
      <c r="B440" s="27" t="s">
        <v>52</v>
      </c>
      <c r="C440" s="33" t="s">
        <v>53</v>
      </c>
      <c r="D440" s="11"/>
      <c r="E440" s="11"/>
      <c r="F440" s="11"/>
      <c r="G440" s="11"/>
      <c r="H440" s="11">
        <v>486</v>
      </c>
      <c r="I440" s="11">
        <v>0</v>
      </c>
      <c r="J440" s="11">
        <v>0</v>
      </c>
      <c r="K440" s="11">
        <v>2344</v>
      </c>
      <c r="L440" s="11">
        <v>0</v>
      </c>
      <c r="M440" s="28">
        <f aca="true" t="shared" si="66" ref="M440:M446">K440</f>
        <v>2344</v>
      </c>
      <c r="N440" s="28">
        <v>0</v>
      </c>
      <c r="O440" s="9">
        <f t="shared" si="62"/>
        <v>7.94583974610737E-05</v>
      </c>
    </row>
    <row r="441" spans="1:15" ht="16.5" customHeight="1">
      <c r="A441" s="27"/>
      <c r="B441" s="27" t="s">
        <v>82</v>
      </c>
      <c r="C441" s="33" t="s">
        <v>273</v>
      </c>
      <c r="D441" s="11"/>
      <c r="E441" s="11">
        <v>2610</v>
      </c>
      <c r="F441" s="11">
        <v>0</v>
      </c>
      <c r="G441" s="11">
        <v>977</v>
      </c>
      <c r="H441" s="11">
        <v>5147</v>
      </c>
      <c r="I441" s="11">
        <v>0</v>
      </c>
      <c r="J441" s="11">
        <v>0</v>
      </c>
      <c r="K441" s="11">
        <v>5506</v>
      </c>
      <c r="L441" s="11">
        <v>0</v>
      </c>
      <c r="M441" s="28">
        <f t="shared" si="66"/>
        <v>5506</v>
      </c>
      <c r="N441" s="28">
        <v>0</v>
      </c>
      <c r="O441" s="9">
        <f t="shared" si="62"/>
        <v>0.00018664587731257327</v>
      </c>
    </row>
    <row r="442" spans="1:15" ht="16.5" customHeight="1">
      <c r="A442" s="27"/>
      <c r="B442" s="27" t="s">
        <v>56</v>
      </c>
      <c r="C442" s="33" t="s">
        <v>276</v>
      </c>
      <c r="D442" s="11"/>
      <c r="E442" s="11">
        <v>358</v>
      </c>
      <c r="F442" s="11">
        <v>0</v>
      </c>
      <c r="G442" s="11">
        <v>134</v>
      </c>
      <c r="H442" s="11">
        <v>706</v>
      </c>
      <c r="I442" s="11">
        <v>0</v>
      </c>
      <c r="J442" s="11">
        <v>0</v>
      </c>
      <c r="K442" s="11">
        <v>755</v>
      </c>
      <c r="L442" s="11">
        <v>0</v>
      </c>
      <c r="M442" s="28">
        <f t="shared" si="66"/>
        <v>755</v>
      </c>
      <c r="N442" s="28">
        <v>0</v>
      </c>
      <c r="O442" s="9">
        <f t="shared" si="62"/>
        <v>2.5593468465490887E-05</v>
      </c>
    </row>
    <row r="443" spans="1:15" ht="16.5" customHeight="1">
      <c r="A443" s="27"/>
      <c r="B443" s="27" t="s">
        <v>58</v>
      </c>
      <c r="C443" s="33" t="s">
        <v>59</v>
      </c>
      <c r="D443" s="11"/>
      <c r="E443" s="11"/>
      <c r="F443" s="11"/>
      <c r="G443" s="11"/>
      <c r="H443" s="11"/>
      <c r="I443" s="11"/>
      <c r="J443" s="11"/>
      <c r="K443" s="11">
        <v>2361</v>
      </c>
      <c r="L443" s="11">
        <v>0</v>
      </c>
      <c r="M443" s="28">
        <f>K443</f>
        <v>2361</v>
      </c>
      <c r="N443" s="28">
        <v>0</v>
      </c>
      <c r="O443" s="9">
        <f t="shared" si="62"/>
        <v>8.003467423446885E-05</v>
      </c>
    </row>
    <row r="444" spans="1:15" ht="17.25" customHeight="1">
      <c r="A444" s="27"/>
      <c r="B444" s="27" t="s">
        <v>64</v>
      </c>
      <c r="C444" s="33" t="s">
        <v>144</v>
      </c>
      <c r="D444" s="11"/>
      <c r="E444" s="11">
        <v>0</v>
      </c>
      <c r="F444" s="11">
        <v>300</v>
      </c>
      <c r="G444" s="11">
        <v>0</v>
      </c>
      <c r="H444" s="11">
        <v>3400</v>
      </c>
      <c r="I444" s="11">
        <v>0</v>
      </c>
      <c r="J444" s="11">
        <v>0</v>
      </c>
      <c r="K444" s="11">
        <v>5560</v>
      </c>
      <c r="L444" s="11">
        <v>0</v>
      </c>
      <c r="M444" s="28">
        <f t="shared" si="66"/>
        <v>5560</v>
      </c>
      <c r="N444" s="28">
        <v>0</v>
      </c>
      <c r="O444" s="9">
        <f t="shared" si="62"/>
        <v>0.00018847640353394612</v>
      </c>
    </row>
    <row r="445" spans="1:15" ht="17.25" customHeight="1">
      <c r="A445" s="27"/>
      <c r="B445" s="27" t="s">
        <v>66</v>
      </c>
      <c r="C445" s="33" t="s">
        <v>67</v>
      </c>
      <c r="D445" s="11"/>
      <c r="E445" s="11"/>
      <c r="F445" s="11"/>
      <c r="G445" s="11"/>
      <c r="H445" s="11">
        <v>657</v>
      </c>
      <c r="I445" s="11">
        <v>0</v>
      </c>
      <c r="J445" s="11">
        <v>0</v>
      </c>
      <c r="K445" s="11">
        <v>1000</v>
      </c>
      <c r="L445" s="11">
        <v>0</v>
      </c>
      <c r="M445" s="28">
        <f t="shared" si="66"/>
        <v>1000</v>
      </c>
      <c r="N445" s="28">
        <v>0</v>
      </c>
      <c r="O445" s="9">
        <f t="shared" si="62"/>
        <v>3.3898633729127E-05</v>
      </c>
    </row>
    <row r="446" spans="1:15" ht="16.5" customHeight="1">
      <c r="A446" s="27"/>
      <c r="B446" s="27" t="s">
        <v>70</v>
      </c>
      <c r="C446" s="33" t="s">
        <v>71</v>
      </c>
      <c r="D446" s="11"/>
      <c r="E446" s="11">
        <v>515</v>
      </c>
      <c r="F446" s="11">
        <v>0</v>
      </c>
      <c r="G446" s="11">
        <v>149</v>
      </c>
      <c r="H446" s="11">
        <v>1317</v>
      </c>
      <c r="I446" s="11">
        <v>0</v>
      </c>
      <c r="J446" s="11">
        <v>0</v>
      </c>
      <c r="K446" s="11">
        <v>1320</v>
      </c>
      <c r="L446" s="11">
        <v>0</v>
      </c>
      <c r="M446" s="28">
        <f t="shared" si="66"/>
        <v>1320</v>
      </c>
      <c r="N446" s="28">
        <v>0</v>
      </c>
      <c r="O446" s="9">
        <f t="shared" si="62"/>
        <v>4.474619652244764E-05</v>
      </c>
    </row>
    <row r="447" spans="1:15" ht="15.75" customHeight="1">
      <c r="A447" s="30" t="s">
        <v>277</v>
      </c>
      <c r="B447" s="27"/>
      <c r="C447" s="7" t="s">
        <v>278</v>
      </c>
      <c r="D447" s="10">
        <f>D448+D449+D450+D452</f>
        <v>982000</v>
      </c>
      <c r="E447" s="10" t="e">
        <f>E448+E449+E450+E451+E452+E453+E454+E455+#REF!+E456+E457+E458+E460</f>
        <v>#REF!</v>
      </c>
      <c r="F447" s="10" t="e">
        <f>F448+F449+F450+F451+F452+F453+F454+F455+#REF!+F456+F457+F458+F460</f>
        <v>#REF!</v>
      </c>
      <c r="G447" s="10" t="e">
        <f>G448+G449+G450+G451+G452+G453+G454+G455+#REF!+G456+G457+G458+G460</f>
        <v>#REF!</v>
      </c>
      <c r="H447" s="10" t="e">
        <f>H448+H449+H450+H451+H452+H453+H454+H455+#REF!+H456+H457+H458+H460+H459</f>
        <v>#REF!</v>
      </c>
      <c r="I447" s="10" t="e">
        <f>I448+I449+I450+I451+I454+I455+#REF!+I456+I457+I458+I459+I460</f>
        <v>#REF!</v>
      </c>
      <c r="J447" s="10" t="e">
        <f>J448+J449+J450+J451+J454+J455+#REF!+J456+J457+J458+J459+J460</f>
        <v>#REF!</v>
      </c>
      <c r="K447" s="10">
        <f>K448+K449+K450+K451+K454+K455+K456+K457+K458+K459+K460</f>
        <v>554859</v>
      </c>
      <c r="L447" s="10">
        <f>L448+L449+L450+L451+L454+L455+L456+L457+L458+L459+L460</f>
        <v>405365</v>
      </c>
      <c r="M447" s="10">
        <f>M448+M449+M450+M451+M454+M455+M456+M457+M458+M459+M460</f>
        <v>149494</v>
      </c>
      <c r="N447" s="10">
        <f>N448+N449+N450+N451+N454+N455+N456+N457+N458+N459+N460</f>
        <v>0</v>
      </c>
      <c r="O447" s="9">
        <f t="shared" si="62"/>
        <v>0.01880896201230968</v>
      </c>
    </row>
    <row r="448" spans="1:15" ht="24.75" customHeight="1">
      <c r="A448" s="27"/>
      <c r="B448" s="27" t="s">
        <v>48</v>
      </c>
      <c r="C448" s="33" t="s">
        <v>49</v>
      </c>
      <c r="D448" s="11">
        <v>606420</v>
      </c>
      <c r="E448" s="11">
        <v>652585</v>
      </c>
      <c r="F448" s="11">
        <v>0</v>
      </c>
      <c r="G448" s="11">
        <v>0</v>
      </c>
      <c r="H448" s="11">
        <v>348221</v>
      </c>
      <c r="I448" s="11">
        <v>0</v>
      </c>
      <c r="J448" s="11">
        <v>0</v>
      </c>
      <c r="K448" s="11">
        <v>344226</v>
      </c>
      <c r="L448" s="11">
        <v>270565</v>
      </c>
      <c r="M448" s="28">
        <f>K448-L448</f>
        <v>73661</v>
      </c>
      <c r="N448" s="28">
        <v>0</v>
      </c>
      <c r="O448" s="9">
        <f t="shared" si="62"/>
        <v>0.011668791094042471</v>
      </c>
    </row>
    <row r="449" spans="1:15" ht="18" customHeight="1">
      <c r="A449" s="27"/>
      <c r="B449" s="27" t="s">
        <v>52</v>
      </c>
      <c r="C449" s="33" t="s">
        <v>53</v>
      </c>
      <c r="D449" s="11">
        <v>48267</v>
      </c>
      <c r="E449" s="11">
        <v>48566</v>
      </c>
      <c r="F449" s="11">
        <v>0</v>
      </c>
      <c r="G449" s="11">
        <v>0</v>
      </c>
      <c r="H449" s="11">
        <v>53781</v>
      </c>
      <c r="I449" s="24">
        <v>0</v>
      </c>
      <c r="J449" s="24">
        <v>0</v>
      </c>
      <c r="K449" s="24">
        <v>28767</v>
      </c>
      <c r="L449" s="11">
        <v>22726</v>
      </c>
      <c r="M449" s="28">
        <f aca="true" t="shared" si="67" ref="M449:M460">K449-L449</f>
        <v>6041</v>
      </c>
      <c r="N449" s="28">
        <v>0</v>
      </c>
      <c r="O449" s="9">
        <f t="shared" si="62"/>
        <v>0.0009751619964857964</v>
      </c>
    </row>
    <row r="450" spans="1:15" ht="18" customHeight="1">
      <c r="A450" s="27"/>
      <c r="B450" s="40" t="s">
        <v>106</v>
      </c>
      <c r="C450" s="33" t="s">
        <v>122</v>
      </c>
      <c r="D450" s="11">
        <v>131863</v>
      </c>
      <c r="E450" s="11">
        <v>124716</v>
      </c>
      <c r="F450" s="11">
        <v>0</v>
      </c>
      <c r="G450" s="11">
        <v>0</v>
      </c>
      <c r="H450" s="11">
        <v>70929</v>
      </c>
      <c r="I450" s="11">
        <v>0</v>
      </c>
      <c r="J450" s="11">
        <v>0</v>
      </c>
      <c r="K450" s="11">
        <v>66422</v>
      </c>
      <c r="L450" s="11">
        <v>52473</v>
      </c>
      <c r="M450" s="28">
        <f t="shared" si="67"/>
        <v>13949</v>
      </c>
      <c r="N450" s="28">
        <v>0</v>
      </c>
      <c r="O450" s="9">
        <f t="shared" si="62"/>
        <v>0.002251615049556074</v>
      </c>
    </row>
    <row r="451" spans="1:15" ht="14.25" customHeight="1">
      <c r="A451" s="27"/>
      <c r="B451" s="40" t="s">
        <v>56</v>
      </c>
      <c r="C451" s="33" t="s">
        <v>57</v>
      </c>
      <c r="D451" s="11"/>
      <c r="E451" s="11">
        <v>16239</v>
      </c>
      <c r="F451" s="11">
        <v>0</v>
      </c>
      <c r="G451" s="11">
        <v>0</v>
      </c>
      <c r="H451" s="11">
        <v>11068</v>
      </c>
      <c r="I451" s="11">
        <v>0</v>
      </c>
      <c r="J451" s="11">
        <v>0</v>
      </c>
      <c r="K451" s="11">
        <v>10550</v>
      </c>
      <c r="L451" s="11">
        <v>8335</v>
      </c>
      <c r="M451" s="28">
        <f t="shared" si="67"/>
        <v>2215</v>
      </c>
      <c r="N451" s="28">
        <v>0</v>
      </c>
      <c r="O451" s="9">
        <f t="shared" si="62"/>
        <v>0.0003576305858422899</v>
      </c>
    </row>
    <row r="452" spans="1:15" ht="18" customHeight="1" hidden="1">
      <c r="A452" s="27"/>
      <c r="B452" s="27" t="s">
        <v>70</v>
      </c>
      <c r="C452" s="33" t="s">
        <v>71</v>
      </c>
      <c r="D452" s="11">
        <v>195450</v>
      </c>
      <c r="E452" s="11">
        <v>21802</v>
      </c>
      <c r="F452" s="11">
        <v>0</v>
      </c>
      <c r="G452" s="11">
        <v>0</v>
      </c>
      <c r="H452" s="11"/>
      <c r="I452" s="10" t="e">
        <f>I453+I470+I485+I506+I504+I513</f>
        <v>#REF!</v>
      </c>
      <c r="J452" s="10" t="e">
        <f>J453+J470+J485+J506+J504+J513</f>
        <v>#REF!</v>
      </c>
      <c r="K452" s="10"/>
      <c r="L452" s="11"/>
      <c r="M452" s="28">
        <f t="shared" si="67"/>
        <v>0</v>
      </c>
      <c r="N452" s="28">
        <v>0</v>
      </c>
      <c r="O452" s="9">
        <f t="shared" si="62"/>
        <v>0</v>
      </c>
    </row>
    <row r="453" spans="1:15" ht="18.75" customHeight="1" hidden="1">
      <c r="A453" s="27"/>
      <c r="B453" s="27" t="s">
        <v>46</v>
      </c>
      <c r="C453" s="33" t="s">
        <v>116</v>
      </c>
      <c r="D453" s="11"/>
      <c r="E453" s="11">
        <v>5700</v>
      </c>
      <c r="F453" s="11">
        <v>0</v>
      </c>
      <c r="G453" s="11">
        <v>0</v>
      </c>
      <c r="H453" s="11"/>
      <c r="I453" s="10" t="e">
        <f>I454+I455+#REF!+I456+I457+I458+I459+I460+I461+I463+#REF!+I464+I465+I468+I467+I469</f>
        <v>#REF!</v>
      </c>
      <c r="J453" s="10" t="e">
        <f>J454+J455+#REF!+J456+J457+J458+J459+J460+J461+J463+#REF!+J464+J465+J468+J467+J469</f>
        <v>#REF!</v>
      </c>
      <c r="K453" s="10"/>
      <c r="L453" s="11"/>
      <c r="M453" s="28">
        <f t="shared" si="67"/>
        <v>0</v>
      </c>
      <c r="N453" s="28">
        <v>0</v>
      </c>
      <c r="O453" s="9">
        <f t="shared" si="62"/>
        <v>0</v>
      </c>
    </row>
    <row r="454" spans="1:15" ht="16.5" customHeight="1">
      <c r="A454" s="27"/>
      <c r="B454" s="27" t="s">
        <v>58</v>
      </c>
      <c r="C454" s="33" t="s">
        <v>180</v>
      </c>
      <c r="D454" s="11"/>
      <c r="E454" s="11">
        <v>20202</v>
      </c>
      <c r="F454" s="11">
        <v>0</v>
      </c>
      <c r="G454" s="11">
        <v>0</v>
      </c>
      <c r="H454" s="11">
        <v>18200</v>
      </c>
      <c r="I454" s="11">
        <v>0</v>
      </c>
      <c r="J454" s="11">
        <v>0</v>
      </c>
      <c r="K454" s="11">
        <v>16290</v>
      </c>
      <c r="L454" s="11">
        <v>7117</v>
      </c>
      <c r="M454" s="28">
        <f t="shared" si="67"/>
        <v>9173</v>
      </c>
      <c r="N454" s="28">
        <v>0</v>
      </c>
      <c r="O454" s="9">
        <f t="shared" si="62"/>
        <v>0.0005522087434474788</v>
      </c>
    </row>
    <row r="455" spans="1:15" ht="16.5" customHeight="1">
      <c r="A455" s="27"/>
      <c r="B455" s="27" t="s">
        <v>60</v>
      </c>
      <c r="C455" s="33" t="s">
        <v>142</v>
      </c>
      <c r="D455" s="11"/>
      <c r="E455" s="11">
        <v>31800</v>
      </c>
      <c r="F455" s="11">
        <v>0</v>
      </c>
      <c r="G455" s="11">
        <v>0</v>
      </c>
      <c r="H455" s="11">
        <v>30340</v>
      </c>
      <c r="I455" s="11">
        <v>0</v>
      </c>
      <c r="J455" s="11">
        <v>0</v>
      </c>
      <c r="K455" s="11">
        <v>34876</v>
      </c>
      <c r="L455" s="11">
        <v>15704</v>
      </c>
      <c r="M455" s="28">
        <f t="shared" si="67"/>
        <v>19172</v>
      </c>
      <c r="N455" s="28">
        <v>0</v>
      </c>
      <c r="O455" s="9">
        <f t="shared" si="62"/>
        <v>0.0011822487499370334</v>
      </c>
    </row>
    <row r="456" spans="1:15" ht="15" customHeight="1">
      <c r="A456" s="27"/>
      <c r="B456" s="27" t="s">
        <v>64</v>
      </c>
      <c r="C456" s="33" t="s">
        <v>144</v>
      </c>
      <c r="D456" s="11"/>
      <c r="E456" s="11">
        <v>17850</v>
      </c>
      <c r="F456" s="11">
        <v>0</v>
      </c>
      <c r="G456" s="11">
        <v>0</v>
      </c>
      <c r="H456" s="11">
        <v>24922</v>
      </c>
      <c r="I456" s="11">
        <v>0</v>
      </c>
      <c r="J456" s="11">
        <v>0</v>
      </c>
      <c r="K456" s="11">
        <v>33475</v>
      </c>
      <c r="L456" s="11">
        <v>15074</v>
      </c>
      <c r="M456" s="28">
        <f t="shared" si="67"/>
        <v>18401</v>
      </c>
      <c r="N456" s="28">
        <v>0</v>
      </c>
      <c r="O456" s="9">
        <f t="shared" si="62"/>
        <v>0.0011347567640825264</v>
      </c>
    </row>
    <row r="457" spans="1:15" ht="14.25" customHeight="1">
      <c r="A457" s="27"/>
      <c r="B457" s="27" t="s">
        <v>66</v>
      </c>
      <c r="C457" s="33" t="s">
        <v>67</v>
      </c>
      <c r="D457" s="11"/>
      <c r="E457" s="11">
        <v>1400</v>
      </c>
      <c r="F457" s="11">
        <v>0</v>
      </c>
      <c r="G457" s="11">
        <v>0</v>
      </c>
      <c r="H457" s="11">
        <v>1400</v>
      </c>
      <c r="I457" s="11">
        <v>0</v>
      </c>
      <c r="J457" s="11">
        <v>0</v>
      </c>
      <c r="K457" s="11">
        <v>2000</v>
      </c>
      <c r="L457" s="11">
        <v>901</v>
      </c>
      <c r="M457" s="28">
        <f t="shared" si="67"/>
        <v>1099</v>
      </c>
      <c r="N457" s="28">
        <v>0</v>
      </c>
      <c r="O457" s="9">
        <f t="shared" si="62"/>
        <v>6.7797267458254E-05</v>
      </c>
    </row>
    <row r="458" spans="1:15" ht="14.25" customHeight="1">
      <c r="A458" s="27"/>
      <c r="B458" s="27" t="s">
        <v>68</v>
      </c>
      <c r="C458" s="33" t="s">
        <v>69</v>
      </c>
      <c r="D458" s="11"/>
      <c r="E458" s="11">
        <v>5890</v>
      </c>
      <c r="F458" s="11">
        <v>0</v>
      </c>
      <c r="G458" s="11">
        <v>0</v>
      </c>
      <c r="H458" s="11">
        <v>3000</v>
      </c>
      <c r="I458" s="11">
        <v>0</v>
      </c>
      <c r="J458" s="11">
        <v>0</v>
      </c>
      <c r="K458" s="11">
        <v>3200</v>
      </c>
      <c r="L458" s="11">
        <v>1441</v>
      </c>
      <c r="M458" s="28">
        <f t="shared" si="67"/>
        <v>1759</v>
      </c>
      <c r="N458" s="28">
        <v>0</v>
      </c>
      <c r="O458" s="9">
        <f t="shared" si="62"/>
        <v>0.0001084756279332064</v>
      </c>
    </row>
    <row r="459" spans="1:15" ht="14.25" customHeight="1">
      <c r="A459" s="27"/>
      <c r="B459" s="27" t="s">
        <v>70</v>
      </c>
      <c r="C459" s="33" t="s">
        <v>71</v>
      </c>
      <c r="D459" s="11"/>
      <c r="E459" s="11"/>
      <c r="F459" s="11"/>
      <c r="G459" s="11"/>
      <c r="H459" s="11">
        <v>12677</v>
      </c>
      <c r="I459" s="11">
        <v>0</v>
      </c>
      <c r="J459" s="11">
        <v>0</v>
      </c>
      <c r="K459" s="11">
        <v>12513</v>
      </c>
      <c r="L459" s="11">
        <v>9885</v>
      </c>
      <c r="M459" s="28">
        <f t="shared" si="67"/>
        <v>2628</v>
      </c>
      <c r="N459" s="28">
        <v>0</v>
      </c>
      <c r="O459" s="9">
        <f t="shared" si="62"/>
        <v>0.00042417360385256617</v>
      </c>
    </row>
    <row r="460" spans="1:15" ht="16.5" customHeight="1">
      <c r="A460" s="27"/>
      <c r="B460" s="27" t="s">
        <v>86</v>
      </c>
      <c r="C460" s="33" t="s">
        <v>87</v>
      </c>
      <c r="D460" s="11"/>
      <c r="E460" s="11">
        <v>3250</v>
      </c>
      <c r="F460" s="11">
        <v>0</v>
      </c>
      <c r="G460" s="11">
        <v>0</v>
      </c>
      <c r="H460" s="11">
        <v>2262</v>
      </c>
      <c r="I460" s="11">
        <v>0</v>
      </c>
      <c r="J460" s="11">
        <v>0</v>
      </c>
      <c r="K460" s="11">
        <v>2540</v>
      </c>
      <c r="L460" s="11">
        <v>1144</v>
      </c>
      <c r="M460" s="28">
        <f t="shared" si="67"/>
        <v>1396</v>
      </c>
      <c r="N460" s="28">
        <v>0</v>
      </c>
      <c r="O460" s="9">
        <f t="shared" si="62"/>
        <v>8.610252967198258E-05</v>
      </c>
    </row>
    <row r="461" spans="1:15" ht="14.25" customHeight="1">
      <c r="A461" s="30" t="s">
        <v>279</v>
      </c>
      <c r="B461" s="30"/>
      <c r="C461" s="7" t="s">
        <v>124</v>
      </c>
      <c r="D461" s="10"/>
      <c r="E461" s="10" t="e">
        <f>E463+#REF!</f>
        <v>#REF!</v>
      </c>
      <c r="F461" s="10" t="e">
        <f>F463+#REF!</f>
        <v>#REF!</v>
      </c>
      <c r="G461" s="10" t="e">
        <f>G463+#REF!</f>
        <v>#REF!</v>
      </c>
      <c r="H461" s="10">
        <f>H462+H463</f>
        <v>5137</v>
      </c>
      <c r="I461" s="10">
        <f aca="true" t="shared" si="68" ref="I461:N461">I463+I462</f>
        <v>0</v>
      </c>
      <c r="J461" s="10">
        <f t="shared" si="68"/>
        <v>0</v>
      </c>
      <c r="K461" s="10">
        <f t="shared" si="68"/>
        <v>2397</v>
      </c>
      <c r="L461" s="10">
        <f t="shared" si="68"/>
        <v>0</v>
      </c>
      <c r="M461" s="23">
        <f t="shared" si="68"/>
        <v>2397</v>
      </c>
      <c r="N461" s="23">
        <f t="shared" si="68"/>
        <v>0</v>
      </c>
      <c r="O461" s="9">
        <f t="shared" si="62"/>
        <v>8.125502504871742E-05</v>
      </c>
    </row>
    <row r="462" spans="1:15" ht="23.25" customHeight="1" hidden="1">
      <c r="A462" s="38"/>
      <c r="B462" s="38" t="s">
        <v>280</v>
      </c>
      <c r="C462" s="33" t="s">
        <v>590</v>
      </c>
      <c r="D462" s="24"/>
      <c r="E462" s="24"/>
      <c r="F462" s="24"/>
      <c r="G462" s="24"/>
      <c r="H462" s="24">
        <v>2250</v>
      </c>
      <c r="I462" s="24">
        <v>0</v>
      </c>
      <c r="J462" s="24">
        <v>0</v>
      </c>
      <c r="K462" s="24">
        <v>0</v>
      </c>
      <c r="L462" s="24">
        <v>0</v>
      </c>
      <c r="M462" s="25">
        <v>0</v>
      </c>
      <c r="N462" s="25">
        <f>K462</f>
        <v>0</v>
      </c>
      <c r="O462" s="9">
        <f t="shared" si="62"/>
        <v>0</v>
      </c>
    </row>
    <row r="463" spans="1:15" ht="17.25" customHeight="1">
      <c r="A463" s="27"/>
      <c r="B463" s="27" t="s">
        <v>70</v>
      </c>
      <c r="C463" s="33" t="s">
        <v>71</v>
      </c>
      <c r="D463" s="11"/>
      <c r="E463" s="11">
        <v>6515</v>
      </c>
      <c r="F463" s="11">
        <v>3292</v>
      </c>
      <c r="G463" s="11">
        <v>0</v>
      </c>
      <c r="H463" s="11">
        <v>2887</v>
      </c>
      <c r="I463" s="11">
        <v>0</v>
      </c>
      <c r="J463" s="11">
        <v>0</v>
      </c>
      <c r="K463" s="11">
        <v>2397</v>
      </c>
      <c r="L463" s="11">
        <v>0</v>
      </c>
      <c r="M463" s="28">
        <f>K463</f>
        <v>2397</v>
      </c>
      <c r="N463" s="28">
        <v>0</v>
      </c>
      <c r="O463" s="9">
        <f t="shared" si="62"/>
        <v>8.125502504871742E-05</v>
      </c>
    </row>
    <row r="464" spans="1:15" s="41" customFormat="1" ht="27" customHeight="1">
      <c r="A464" s="30" t="s">
        <v>281</v>
      </c>
      <c r="B464" s="30"/>
      <c r="C464" s="7" t="s">
        <v>282</v>
      </c>
      <c r="D464" s="10" t="e">
        <f>D465+D484+D498+D513+D522</f>
        <v>#REF!</v>
      </c>
      <c r="E464" s="10" t="e">
        <f>E465+E484+E498+E513+E522+E520+E529</f>
        <v>#REF!</v>
      </c>
      <c r="F464" s="10" t="e">
        <f>F465+F484+F498+F522+F520+F529</f>
        <v>#REF!</v>
      </c>
      <c r="G464" s="10" t="e">
        <f>G465+G484+G498+G522+G520+G529</f>
        <v>#REF!</v>
      </c>
      <c r="H464" s="10" t="e">
        <f>H465+H484+H498+H520+H522+H529+H482</f>
        <v>#REF!</v>
      </c>
      <c r="I464" s="10" t="e">
        <f>I465+I482+I484+I498+I520+I522+I529</f>
        <v>#REF!</v>
      </c>
      <c r="J464" s="10" t="e">
        <f>J465+J482+J484+J498+J520+J522+J529</f>
        <v>#REF!</v>
      </c>
      <c r="K464" s="10">
        <f>K465+K482+K484+K498+K522+K529</f>
        <v>2251637</v>
      </c>
      <c r="L464" s="10">
        <f>L465+L484+L498+L520+L522+L529+L482</f>
        <v>0</v>
      </c>
      <c r="M464" s="23">
        <f>M465+M484+M498+M520+M522+M529+M482</f>
        <v>2245637</v>
      </c>
      <c r="N464" s="23">
        <f>N465+N484+N498+N520+N522+N529+N482</f>
        <v>6000</v>
      </c>
      <c r="O464" s="9">
        <f t="shared" si="62"/>
        <v>0.07632741795395033</v>
      </c>
    </row>
    <row r="465" spans="1:15" ht="26.25" customHeight="1">
      <c r="A465" s="30" t="s">
        <v>283</v>
      </c>
      <c r="B465" s="27"/>
      <c r="C465" s="7" t="s">
        <v>284</v>
      </c>
      <c r="D465" s="10">
        <f>D466+D467+D468+D480</f>
        <v>2045066</v>
      </c>
      <c r="E465" s="10">
        <f>E466+E467+E468+E469+E470+E472+E473+E474+E475+E476+E477+E478+E479+E481</f>
        <v>1798247</v>
      </c>
      <c r="F465" s="10">
        <f>F466+F467+F468+F469+F470+F472+F473+F474+F475+F476+F477+F478+F479+F481</f>
        <v>41425</v>
      </c>
      <c r="G465" s="10">
        <f>G466+G467+G468+G469+G470+G472+G473+G474+G475+G476+G477+G478+G479+G481</f>
        <v>76560</v>
      </c>
      <c r="H465" s="10">
        <f>H466+H467+H468+H469+H470+H472+H473+H474+H475+H476+H477+H478+H479+H480+H481</f>
        <v>1016299</v>
      </c>
      <c r="I465" s="10">
        <f>I466+I467+I468+I469+I472+I473+I474+I475+I476+I477+I478+I479+I480</f>
        <v>0</v>
      </c>
      <c r="J465" s="10">
        <f>J466+J467+J468+J469+J472+J473+J474+J475+J476+J477+J478+J479+J480</f>
        <v>0</v>
      </c>
      <c r="K465" s="10">
        <f>K466+K467+K468+K469+K472+K473+K474+K475+K476+K477+K478+K479+K480+K471</f>
        <v>976573</v>
      </c>
      <c r="L465" s="10">
        <f>L466+L467+L468+L469+L472+L473+L474+L475+L476+L477+L478+L479+L480+L471</f>
        <v>0</v>
      </c>
      <c r="M465" s="10">
        <f>M466+M467+M468+M469+M472+M473+M474+M475+M476+M477+M478+M479+M480+M471</f>
        <v>976573</v>
      </c>
      <c r="N465" s="10">
        <f>N466+N467+N468+N469+N472+N473+N474+N475+N476+N477+N478+N479+N480+N471</f>
        <v>0</v>
      </c>
      <c r="O465" s="9">
        <f t="shared" si="62"/>
        <v>0.033104490436754744</v>
      </c>
    </row>
    <row r="466" spans="1:15" ht="30" customHeight="1">
      <c r="A466" s="27"/>
      <c r="B466" s="27" t="s">
        <v>48</v>
      </c>
      <c r="C466" s="33" t="s">
        <v>49</v>
      </c>
      <c r="D466" s="11">
        <v>1270889</v>
      </c>
      <c r="E466" s="11">
        <v>1044649</v>
      </c>
      <c r="F466" s="11">
        <v>19143</v>
      </c>
      <c r="G466" s="11">
        <v>45000</v>
      </c>
      <c r="H466" s="11">
        <v>582499</v>
      </c>
      <c r="I466" s="11">
        <v>0</v>
      </c>
      <c r="J466" s="11">
        <v>0</v>
      </c>
      <c r="K466" s="11">
        <v>562350</v>
      </c>
      <c r="L466" s="11">
        <v>0</v>
      </c>
      <c r="M466" s="28">
        <f>K466</f>
        <v>562350</v>
      </c>
      <c r="N466" s="28">
        <v>0</v>
      </c>
      <c r="O466" s="9">
        <f t="shared" si="62"/>
        <v>0.01906289667757457</v>
      </c>
    </row>
    <row r="467" spans="1:15" ht="18" customHeight="1">
      <c r="A467" s="27"/>
      <c r="B467" s="27" t="s">
        <v>52</v>
      </c>
      <c r="C467" s="33" t="s">
        <v>53</v>
      </c>
      <c r="D467" s="11">
        <v>95035</v>
      </c>
      <c r="E467" s="11">
        <v>92025</v>
      </c>
      <c r="F467" s="11">
        <v>0</v>
      </c>
      <c r="G467" s="11">
        <v>0</v>
      </c>
      <c r="H467" s="11">
        <v>43416</v>
      </c>
      <c r="I467" s="11">
        <v>0</v>
      </c>
      <c r="J467" s="11">
        <v>0</v>
      </c>
      <c r="K467" s="11">
        <v>48045</v>
      </c>
      <c r="L467" s="11">
        <v>0</v>
      </c>
      <c r="M467" s="28">
        <f aca="true" t="shared" si="69" ref="M467:M480">K467</f>
        <v>48045</v>
      </c>
      <c r="N467" s="28">
        <v>0</v>
      </c>
      <c r="O467" s="9">
        <f t="shared" si="62"/>
        <v>0.0016286598575159068</v>
      </c>
    </row>
    <row r="468" spans="1:15" ht="17.25" customHeight="1">
      <c r="A468" s="27"/>
      <c r="B468" s="40" t="s">
        <v>82</v>
      </c>
      <c r="C468" s="33" t="s">
        <v>122</v>
      </c>
      <c r="D468" s="11">
        <v>274033</v>
      </c>
      <c r="E468" s="11">
        <v>199495</v>
      </c>
      <c r="F468" s="11">
        <v>2349</v>
      </c>
      <c r="G468" s="11">
        <v>8046</v>
      </c>
      <c r="H468" s="11">
        <v>95283</v>
      </c>
      <c r="I468" s="11">
        <v>0</v>
      </c>
      <c r="J468" s="11">
        <v>0</v>
      </c>
      <c r="K468" s="11">
        <v>107000</v>
      </c>
      <c r="L468" s="11">
        <v>0</v>
      </c>
      <c r="M468" s="28">
        <f t="shared" si="69"/>
        <v>107000</v>
      </c>
      <c r="N468" s="28">
        <v>0</v>
      </c>
      <c r="O468" s="9">
        <f t="shared" si="62"/>
        <v>0.003627153809016589</v>
      </c>
    </row>
    <row r="469" spans="1:15" ht="17.25" customHeight="1">
      <c r="A469" s="27"/>
      <c r="B469" s="40" t="s">
        <v>56</v>
      </c>
      <c r="C469" s="33" t="s">
        <v>57</v>
      </c>
      <c r="D469" s="11"/>
      <c r="E469" s="11">
        <v>27615</v>
      </c>
      <c r="F469" s="11">
        <v>321</v>
      </c>
      <c r="G469" s="11">
        <v>1102</v>
      </c>
      <c r="H469" s="11">
        <v>13141</v>
      </c>
      <c r="I469" s="11">
        <v>0</v>
      </c>
      <c r="J469" s="11">
        <v>0</v>
      </c>
      <c r="K469" s="11">
        <v>14660</v>
      </c>
      <c r="L469" s="11">
        <v>0</v>
      </c>
      <c r="M469" s="28">
        <f t="shared" si="69"/>
        <v>14660</v>
      </c>
      <c r="N469" s="28">
        <v>0</v>
      </c>
      <c r="O469" s="9">
        <f t="shared" si="62"/>
        <v>0.0004969539704690019</v>
      </c>
    </row>
    <row r="470" spans="1:15" ht="21" customHeight="1" hidden="1">
      <c r="A470" s="27"/>
      <c r="B470" s="40"/>
      <c r="C470" s="33" t="s">
        <v>97</v>
      </c>
      <c r="D470" s="11"/>
      <c r="E470" s="11">
        <v>32821</v>
      </c>
      <c r="F470" s="11">
        <v>0</v>
      </c>
      <c r="G470" s="11">
        <v>0</v>
      </c>
      <c r="H470" s="11"/>
      <c r="I470" s="10" t="e">
        <f>I472+I473+I474+I475+I476+I477+I478+I479+I480+I481+I482+I483+I484</f>
        <v>#REF!</v>
      </c>
      <c r="J470" s="10" t="e">
        <f>J472+J473+J474+J475+J476+J477+J478+J479+J480+J481+J482+J483+J484</f>
        <v>#REF!</v>
      </c>
      <c r="K470" s="10"/>
      <c r="L470" s="11">
        <v>0</v>
      </c>
      <c r="M470" s="28">
        <f t="shared" si="69"/>
        <v>0</v>
      </c>
      <c r="N470" s="28">
        <v>0</v>
      </c>
      <c r="O470" s="9">
        <f t="shared" si="62"/>
        <v>0</v>
      </c>
    </row>
    <row r="471" spans="1:15" ht="15" customHeight="1">
      <c r="A471" s="27"/>
      <c r="B471" s="40" t="s">
        <v>44</v>
      </c>
      <c r="C471" s="33" t="s">
        <v>183</v>
      </c>
      <c r="D471" s="11"/>
      <c r="E471" s="11"/>
      <c r="F471" s="11"/>
      <c r="G471" s="11"/>
      <c r="H471" s="11"/>
      <c r="I471" s="10"/>
      <c r="J471" s="10"/>
      <c r="K471" s="24">
        <v>2250</v>
      </c>
      <c r="L471" s="24">
        <v>0</v>
      </c>
      <c r="M471" s="25">
        <f>K471</f>
        <v>2250</v>
      </c>
      <c r="N471" s="25">
        <v>0</v>
      </c>
      <c r="O471" s="9">
        <f t="shared" si="62"/>
        <v>7.627192589053575E-05</v>
      </c>
    </row>
    <row r="472" spans="1:15" ht="18.75" customHeight="1">
      <c r="A472" s="27"/>
      <c r="B472" s="40" t="s">
        <v>58</v>
      </c>
      <c r="C472" s="33" t="s">
        <v>180</v>
      </c>
      <c r="D472" s="11"/>
      <c r="E472" s="11">
        <v>123652</v>
      </c>
      <c r="F472" s="11">
        <v>12612</v>
      </c>
      <c r="G472" s="11">
        <v>0</v>
      </c>
      <c r="H472" s="11">
        <v>132912</v>
      </c>
      <c r="I472" s="11">
        <v>0</v>
      </c>
      <c r="J472" s="11">
        <v>0</v>
      </c>
      <c r="K472" s="11">
        <v>113000</v>
      </c>
      <c r="L472" s="11">
        <v>0</v>
      </c>
      <c r="M472" s="28">
        <f t="shared" si="69"/>
        <v>113000</v>
      </c>
      <c r="N472" s="28">
        <v>0</v>
      </c>
      <c r="O472" s="9">
        <f t="shared" si="62"/>
        <v>0.003830545611391351</v>
      </c>
    </row>
    <row r="473" spans="1:15" ht="17.25" customHeight="1">
      <c r="A473" s="27"/>
      <c r="B473" s="40" t="s">
        <v>138</v>
      </c>
      <c r="C473" s="33" t="s">
        <v>252</v>
      </c>
      <c r="D473" s="11"/>
      <c r="E473" s="11">
        <v>145078</v>
      </c>
      <c r="F473" s="11">
        <v>0</v>
      </c>
      <c r="G473" s="11">
        <v>20000</v>
      </c>
      <c r="H473" s="11">
        <v>50000</v>
      </c>
      <c r="I473" s="11">
        <v>0</v>
      </c>
      <c r="J473" s="11">
        <v>0</v>
      </c>
      <c r="K473" s="11">
        <v>60000</v>
      </c>
      <c r="L473" s="11">
        <v>0</v>
      </c>
      <c r="M473" s="28">
        <f t="shared" si="69"/>
        <v>60000</v>
      </c>
      <c r="N473" s="28">
        <v>0</v>
      </c>
      <c r="O473" s="9">
        <f t="shared" si="62"/>
        <v>0.00203391802374762</v>
      </c>
    </row>
    <row r="474" spans="1:15" ht="17.25" customHeight="1">
      <c r="A474" s="27"/>
      <c r="B474" s="40" t="s">
        <v>60</v>
      </c>
      <c r="C474" s="33" t="s">
        <v>142</v>
      </c>
      <c r="D474" s="11"/>
      <c r="E474" s="11">
        <v>21328</v>
      </c>
      <c r="F474" s="11">
        <v>3000</v>
      </c>
      <c r="G474" s="11">
        <v>0</v>
      </c>
      <c r="H474" s="11">
        <v>20600</v>
      </c>
      <c r="I474" s="11">
        <v>0</v>
      </c>
      <c r="J474" s="11">
        <v>0</v>
      </c>
      <c r="K474" s="11">
        <v>19200</v>
      </c>
      <c r="L474" s="11">
        <v>0</v>
      </c>
      <c r="M474" s="28">
        <f t="shared" si="69"/>
        <v>19200</v>
      </c>
      <c r="N474" s="28">
        <v>0</v>
      </c>
      <c r="O474" s="9">
        <f t="shared" si="62"/>
        <v>0.0006508537675992385</v>
      </c>
    </row>
    <row r="475" spans="1:15" ht="18" customHeight="1" hidden="1">
      <c r="A475" s="27"/>
      <c r="B475" s="40" t="s">
        <v>631</v>
      </c>
      <c r="C475" s="33" t="s">
        <v>299</v>
      </c>
      <c r="D475" s="11"/>
      <c r="E475" s="11">
        <v>1623</v>
      </c>
      <c r="F475" s="11">
        <v>0</v>
      </c>
      <c r="G475" s="11">
        <v>0</v>
      </c>
      <c r="H475" s="11">
        <v>750</v>
      </c>
      <c r="I475" s="11">
        <v>0</v>
      </c>
      <c r="J475" s="11">
        <v>0</v>
      </c>
      <c r="K475" s="11">
        <v>0</v>
      </c>
      <c r="L475" s="11">
        <v>0</v>
      </c>
      <c r="M475" s="28">
        <f t="shared" si="69"/>
        <v>0</v>
      </c>
      <c r="N475" s="28">
        <v>0</v>
      </c>
      <c r="O475" s="9">
        <f t="shared" si="62"/>
        <v>0</v>
      </c>
    </row>
    <row r="476" spans="1:15" ht="15.75" customHeight="1">
      <c r="A476" s="27"/>
      <c r="B476" s="40" t="s">
        <v>64</v>
      </c>
      <c r="C476" s="33" t="s">
        <v>144</v>
      </c>
      <c r="D476" s="11"/>
      <c r="E476" s="11">
        <v>22737</v>
      </c>
      <c r="F476" s="11">
        <v>4000</v>
      </c>
      <c r="G476" s="11">
        <v>0</v>
      </c>
      <c r="H476" s="11">
        <v>20188</v>
      </c>
      <c r="I476" s="11">
        <v>0</v>
      </c>
      <c r="J476" s="11">
        <v>0</v>
      </c>
      <c r="K476" s="11">
        <v>20000</v>
      </c>
      <c r="L476" s="11">
        <v>0</v>
      </c>
      <c r="M476" s="28">
        <f t="shared" si="69"/>
        <v>20000</v>
      </c>
      <c r="N476" s="28">
        <v>0</v>
      </c>
      <c r="O476" s="9">
        <f t="shared" si="62"/>
        <v>0.00067797267458254</v>
      </c>
    </row>
    <row r="477" spans="1:15" ht="14.25" customHeight="1">
      <c r="A477" s="27"/>
      <c r="B477" s="40" t="s">
        <v>66</v>
      </c>
      <c r="C477" s="33" t="s">
        <v>67</v>
      </c>
      <c r="D477" s="11"/>
      <c r="E477" s="11">
        <v>2384</v>
      </c>
      <c r="F477" s="11">
        <v>0</v>
      </c>
      <c r="G477" s="11">
        <v>800</v>
      </c>
      <c r="H477" s="11">
        <v>0</v>
      </c>
      <c r="I477" s="11">
        <v>0</v>
      </c>
      <c r="J477" s="11">
        <v>0</v>
      </c>
      <c r="K477" s="11">
        <v>1000</v>
      </c>
      <c r="L477" s="11">
        <v>0</v>
      </c>
      <c r="M477" s="28">
        <f t="shared" si="69"/>
        <v>1000</v>
      </c>
      <c r="N477" s="28">
        <v>0</v>
      </c>
      <c r="O477" s="9">
        <f t="shared" si="62"/>
        <v>3.3898633729127E-05</v>
      </c>
    </row>
    <row r="478" spans="1:15" ht="15" customHeight="1">
      <c r="A478" s="27"/>
      <c r="B478" s="40" t="s">
        <v>68</v>
      </c>
      <c r="C478" s="33" t="s">
        <v>69</v>
      </c>
      <c r="D478" s="11"/>
      <c r="E478" s="11">
        <v>5336</v>
      </c>
      <c r="F478" s="11">
        <v>0</v>
      </c>
      <c r="G478" s="11">
        <v>1612</v>
      </c>
      <c r="H478" s="11">
        <v>1200</v>
      </c>
      <c r="I478" s="11">
        <v>0</v>
      </c>
      <c r="J478" s="11">
        <v>0</v>
      </c>
      <c r="K478" s="11">
        <v>1168</v>
      </c>
      <c r="L478" s="11">
        <v>0</v>
      </c>
      <c r="M478" s="28">
        <f t="shared" si="69"/>
        <v>1168</v>
      </c>
      <c r="N478" s="28">
        <v>0</v>
      </c>
      <c r="O478" s="9">
        <f t="shared" si="62"/>
        <v>3.959360419562034E-05</v>
      </c>
    </row>
    <row r="479" spans="1:15" ht="17.25" customHeight="1">
      <c r="A479" s="27"/>
      <c r="B479" s="40" t="s">
        <v>70</v>
      </c>
      <c r="C479" s="33" t="s">
        <v>71</v>
      </c>
      <c r="D479" s="11"/>
      <c r="E479" s="11">
        <v>79227</v>
      </c>
      <c r="F479" s="11">
        <v>0</v>
      </c>
      <c r="G479" s="11">
        <v>0</v>
      </c>
      <c r="H479" s="11">
        <v>31310</v>
      </c>
      <c r="I479" s="11">
        <v>0</v>
      </c>
      <c r="J479" s="11">
        <v>0</v>
      </c>
      <c r="K479" s="11">
        <v>27900</v>
      </c>
      <c r="L479" s="11">
        <v>0</v>
      </c>
      <c r="M479" s="28">
        <f t="shared" si="69"/>
        <v>27900</v>
      </c>
      <c r="N479" s="28">
        <v>0</v>
      </c>
      <c r="O479" s="9">
        <f t="shared" si="62"/>
        <v>0.0009457718810426433</v>
      </c>
    </row>
    <row r="480" spans="1:15" ht="17.25" customHeight="1" hidden="1">
      <c r="A480" s="27"/>
      <c r="B480" s="27" t="s">
        <v>88</v>
      </c>
      <c r="C480" s="14" t="s">
        <v>285</v>
      </c>
      <c r="D480" s="11">
        <v>405109</v>
      </c>
      <c r="E480" s="11"/>
      <c r="F480" s="11"/>
      <c r="G480" s="11"/>
      <c r="H480" s="11">
        <v>25000</v>
      </c>
      <c r="I480" s="11">
        <v>0</v>
      </c>
      <c r="J480" s="11">
        <v>0</v>
      </c>
      <c r="K480" s="11">
        <v>0</v>
      </c>
      <c r="L480" s="11">
        <v>0</v>
      </c>
      <c r="M480" s="28">
        <f t="shared" si="69"/>
        <v>0</v>
      </c>
      <c r="N480" s="28">
        <v>0</v>
      </c>
      <c r="O480" s="9">
        <f t="shared" si="62"/>
        <v>0</v>
      </c>
    </row>
    <row r="481" spans="1:15" ht="16.5" customHeight="1" hidden="1">
      <c r="A481" s="27"/>
      <c r="B481" s="27" t="s">
        <v>286</v>
      </c>
      <c r="C481" s="14" t="s">
        <v>287</v>
      </c>
      <c r="D481" s="11"/>
      <c r="E481" s="11">
        <v>277</v>
      </c>
      <c r="F481" s="11">
        <v>0</v>
      </c>
      <c r="G481" s="11">
        <v>0</v>
      </c>
      <c r="H481" s="11"/>
      <c r="I481" s="11">
        <v>700</v>
      </c>
      <c r="J481" s="11">
        <v>239</v>
      </c>
      <c r="K481" s="11"/>
      <c r="L481" s="11"/>
      <c r="M481" s="28"/>
      <c r="N481" s="28">
        <v>0</v>
      </c>
      <c r="O481" s="9">
        <f t="shared" si="62"/>
        <v>0</v>
      </c>
    </row>
    <row r="482" spans="1:15" ht="15.75" customHeight="1">
      <c r="A482" s="30" t="s">
        <v>288</v>
      </c>
      <c r="B482" s="30"/>
      <c r="C482" s="7" t="s">
        <v>289</v>
      </c>
      <c r="D482" s="10"/>
      <c r="E482" s="10"/>
      <c r="F482" s="10"/>
      <c r="G482" s="10"/>
      <c r="H482" s="10">
        <f aca="true" t="shared" si="70" ref="H482:N482">H483</f>
        <v>38203</v>
      </c>
      <c r="I482" s="10">
        <f t="shared" si="70"/>
        <v>0</v>
      </c>
      <c r="J482" s="10">
        <f t="shared" si="70"/>
        <v>0</v>
      </c>
      <c r="K482" s="10">
        <f t="shared" si="70"/>
        <v>0</v>
      </c>
      <c r="L482" s="10">
        <f t="shared" si="70"/>
        <v>0</v>
      </c>
      <c r="M482" s="23">
        <f t="shared" si="70"/>
        <v>0</v>
      </c>
      <c r="N482" s="23">
        <f t="shared" si="70"/>
        <v>0</v>
      </c>
      <c r="O482" s="9">
        <f t="shared" si="62"/>
        <v>0</v>
      </c>
    </row>
    <row r="483" spans="1:15" ht="42" customHeight="1">
      <c r="A483" s="27"/>
      <c r="B483" s="27" t="s">
        <v>176</v>
      </c>
      <c r="C483" s="14" t="s">
        <v>809</v>
      </c>
      <c r="D483" s="11"/>
      <c r="E483" s="11"/>
      <c r="F483" s="11"/>
      <c r="G483" s="11"/>
      <c r="H483" s="11">
        <v>38203</v>
      </c>
      <c r="I483" s="11">
        <v>0</v>
      </c>
      <c r="J483" s="11">
        <v>0</v>
      </c>
      <c r="K483" s="11">
        <v>0</v>
      </c>
      <c r="L483" s="11">
        <v>0</v>
      </c>
      <c r="M483" s="28">
        <f>K483</f>
        <v>0</v>
      </c>
      <c r="N483" s="28">
        <v>0</v>
      </c>
      <c r="O483" s="9">
        <f aca="true" t="shared" si="71" ref="O483:O541">K483/$K$549</f>
        <v>0</v>
      </c>
    </row>
    <row r="484" spans="1:15" ht="18" customHeight="1">
      <c r="A484" s="30" t="s">
        <v>290</v>
      </c>
      <c r="B484" s="27"/>
      <c r="C484" s="7" t="s">
        <v>291</v>
      </c>
      <c r="D484" s="10">
        <f>D485+D486+D487+D495</f>
        <v>506163</v>
      </c>
      <c r="E484" s="10" t="e">
        <f>E485+E486+E487+E488+E489+E490+E491+E492+#REF!+E493+E494+E495+E496</f>
        <v>#REF!</v>
      </c>
      <c r="F484" s="10" t="e">
        <f>F485+F486+F487+F488+F489+F490+F491+F492+#REF!+F493+F494+F495+F496</f>
        <v>#REF!</v>
      </c>
      <c r="G484" s="10" t="e">
        <f>G485+G486+G487+G488+G489+G490+G491+G492+#REF!+G493+G494+G495+G496</f>
        <v>#REF!</v>
      </c>
      <c r="H484" s="10" t="e">
        <f>H485+H486+H487+H488+H489+H490+H491+H492+#REF!+H493+H494+H495+H496</f>
        <v>#REF!</v>
      </c>
      <c r="I484" s="10" t="e">
        <f>I485+I486+I487+I488+I489+I490+I491+I492+#REF!+I493+I494+I495+I496</f>
        <v>#REF!</v>
      </c>
      <c r="J484" s="10" t="e">
        <f>J485+J486+J487+J488+J489+J490+J491+J492+#REF!+J493+J494+J495+J496</f>
        <v>#REF!</v>
      </c>
      <c r="K484" s="10">
        <f>K485+K486+K487+K488+K489+K490+K491+K492+K493+K494+K495+K496+K497</f>
        <v>365868</v>
      </c>
      <c r="L484" s="10">
        <f>L485+L486+L487+L488+L489+L490+L491+L492+L493+L494+L495+L496+L497</f>
        <v>0</v>
      </c>
      <c r="M484" s="10">
        <f>M485+M486+M487+M488+M489+M490+M491+M492+M493+M494+M495+M496+M497</f>
        <v>365868</v>
      </c>
      <c r="N484" s="10">
        <f>N485+N486+N487+N488+N489+N490+N491+N492+N493+N494+N495+N496+N497</f>
        <v>0</v>
      </c>
      <c r="O484" s="9">
        <f t="shared" si="71"/>
        <v>0.012402425325208237</v>
      </c>
    </row>
    <row r="485" spans="1:15" ht="27.75" customHeight="1">
      <c r="A485" s="27"/>
      <c r="B485" s="27" t="s">
        <v>48</v>
      </c>
      <c r="C485" s="33" t="s">
        <v>49</v>
      </c>
      <c r="D485" s="11">
        <v>338872</v>
      </c>
      <c r="E485" s="11">
        <v>347249</v>
      </c>
      <c r="F485" s="11">
        <v>4011</v>
      </c>
      <c r="G485" s="11">
        <v>5633</v>
      </c>
      <c r="H485" s="11">
        <v>217986</v>
      </c>
      <c r="I485" s="24">
        <v>0</v>
      </c>
      <c r="J485" s="24">
        <v>0</v>
      </c>
      <c r="K485" s="24">
        <v>235000</v>
      </c>
      <c r="L485" s="11">
        <v>0</v>
      </c>
      <c r="M485" s="28">
        <f>K485</f>
        <v>235000</v>
      </c>
      <c r="N485" s="28">
        <v>0</v>
      </c>
      <c r="O485" s="9">
        <f t="shared" si="71"/>
        <v>0.007966178926344845</v>
      </c>
    </row>
    <row r="486" spans="1:15" ht="18.75" customHeight="1">
      <c r="A486" s="27"/>
      <c r="B486" s="27" t="s">
        <v>52</v>
      </c>
      <c r="C486" s="33" t="s">
        <v>53</v>
      </c>
      <c r="D486" s="11">
        <v>22404</v>
      </c>
      <c r="E486" s="11">
        <v>26837</v>
      </c>
      <c r="F486" s="11">
        <v>0</v>
      </c>
      <c r="G486" s="11">
        <v>0</v>
      </c>
      <c r="H486" s="11">
        <v>16350</v>
      </c>
      <c r="I486" s="11">
        <v>0</v>
      </c>
      <c r="J486" s="11">
        <v>0</v>
      </c>
      <c r="K486" s="11">
        <v>17713</v>
      </c>
      <c r="L486" s="11">
        <v>0</v>
      </c>
      <c r="M486" s="28">
        <f aca="true" t="shared" si="72" ref="M486:M496">K486</f>
        <v>17713</v>
      </c>
      <c r="N486" s="28">
        <v>0</v>
      </c>
      <c r="O486" s="9">
        <f t="shared" si="71"/>
        <v>0.0006004464992440266</v>
      </c>
    </row>
    <row r="487" spans="1:15" ht="17.25" customHeight="1">
      <c r="A487" s="27"/>
      <c r="B487" s="40" t="s">
        <v>106</v>
      </c>
      <c r="C487" s="33" t="s">
        <v>122</v>
      </c>
      <c r="D487" s="11">
        <v>73812</v>
      </c>
      <c r="E487" s="11">
        <v>65930</v>
      </c>
      <c r="F487" s="11">
        <v>360</v>
      </c>
      <c r="G487" s="11">
        <v>1005</v>
      </c>
      <c r="H487" s="11">
        <v>41809</v>
      </c>
      <c r="I487" s="11">
        <v>0</v>
      </c>
      <c r="J487" s="11">
        <v>0</v>
      </c>
      <c r="K487" s="11">
        <v>45185</v>
      </c>
      <c r="L487" s="11">
        <v>0</v>
      </c>
      <c r="M487" s="28">
        <f t="shared" si="72"/>
        <v>45185</v>
      </c>
      <c r="N487" s="28">
        <v>0</v>
      </c>
      <c r="O487" s="9">
        <f t="shared" si="71"/>
        <v>0.0015317097650506036</v>
      </c>
    </row>
    <row r="488" spans="1:15" ht="14.25" customHeight="1">
      <c r="A488" s="27"/>
      <c r="B488" s="40" t="s">
        <v>56</v>
      </c>
      <c r="C488" s="33" t="s">
        <v>57</v>
      </c>
      <c r="D488" s="11"/>
      <c r="E488" s="11">
        <v>9068</v>
      </c>
      <c r="F488" s="11">
        <v>49</v>
      </c>
      <c r="G488" s="11">
        <v>138</v>
      </c>
      <c r="H488" s="11">
        <v>5729</v>
      </c>
      <c r="I488" s="11">
        <v>0</v>
      </c>
      <c r="J488" s="11">
        <v>0</v>
      </c>
      <c r="K488" s="11">
        <v>6190</v>
      </c>
      <c r="L488" s="11">
        <v>0</v>
      </c>
      <c r="M488" s="28">
        <f t="shared" si="72"/>
        <v>6190</v>
      </c>
      <c r="N488" s="28">
        <v>0</v>
      </c>
      <c r="O488" s="9">
        <f t="shared" si="71"/>
        <v>0.00020983254278329614</v>
      </c>
    </row>
    <row r="489" spans="1:15" ht="16.5" customHeight="1">
      <c r="A489" s="27"/>
      <c r="B489" s="40" t="s">
        <v>44</v>
      </c>
      <c r="C489" s="33" t="s">
        <v>183</v>
      </c>
      <c r="D489" s="11"/>
      <c r="E489" s="11">
        <v>4293</v>
      </c>
      <c r="F489" s="11">
        <v>0</v>
      </c>
      <c r="G489" s="11">
        <v>0</v>
      </c>
      <c r="H489" s="11">
        <v>2559</v>
      </c>
      <c r="I489" s="11">
        <v>0</v>
      </c>
      <c r="J489" s="11">
        <v>0</v>
      </c>
      <c r="K489" s="11">
        <v>6080</v>
      </c>
      <c r="L489" s="11">
        <v>0</v>
      </c>
      <c r="M489" s="28">
        <f t="shared" si="72"/>
        <v>6080</v>
      </c>
      <c r="N489" s="28">
        <v>0</v>
      </c>
      <c r="O489" s="9">
        <f t="shared" si="71"/>
        <v>0.00020610369307309218</v>
      </c>
    </row>
    <row r="490" spans="1:15" ht="15.75" customHeight="1">
      <c r="A490" s="27"/>
      <c r="B490" s="40" t="s">
        <v>58</v>
      </c>
      <c r="C490" s="33" t="s">
        <v>180</v>
      </c>
      <c r="D490" s="11"/>
      <c r="E490" s="11">
        <v>17339</v>
      </c>
      <c r="F490" s="11">
        <v>5526</v>
      </c>
      <c r="G490" s="11">
        <v>0</v>
      </c>
      <c r="H490" s="11">
        <v>32947</v>
      </c>
      <c r="I490" s="11">
        <v>0</v>
      </c>
      <c r="J490" s="11">
        <v>0</v>
      </c>
      <c r="K490" s="11">
        <v>27644</v>
      </c>
      <c r="L490" s="11">
        <v>0</v>
      </c>
      <c r="M490" s="28">
        <f t="shared" si="72"/>
        <v>27644</v>
      </c>
      <c r="N490" s="28">
        <v>0</v>
      </c>
      <c r="O490" s="9">
        <f t="shared" si="71"/>
        <v>0.0009370938308079868</v>
      </c>
    </row>
    <row r="491" spans="1:15" ht="16.5" customHeight="1">
      <c r="A491" s="27"/>
      <c r="B491" s="40" t="s">
        <v>173</v>
      </c>
      <c r="C491" s="33" t="s">
        <v>253</v>
      </c>
      <c r="D491" s="11"/>
      <c r="E491" s="11">
        <v>4149</v>
      </c>
      <c r="F491" s="11">
        <v>0</v>
      </c>
      <c r="G491" s="11">
        <v>0</v>
      </c>
      <c r="H491" s="11">
        <v>1500</v>
      </c>
      <c r="I491" s="11">
        <v>0</v>
      </c>
      <c r="J491" s="11">
        <v>0</v>
      </c>
      <c r="K491" s="11">
        <v>1500</v>
      </c>
      <c r="L491" s="11">
        <v>0</v>
      </c>
      <c r="M491" s="28">
        <f t="shared" si="72"/>
        <v>1500</v>
      </c>
      <c r="N491" s="28">
        <v>0</v>
      </c>
      <c r="O491" s="9">
        <f t="shared" si="71"/>
        <v>5.0847950593690504E-05</v>
      </c>
    </row>
    <row r="492" spans="1:15" ht="17.25" customHeight="1">
      <c r="A492" s="27"/>
      <c r="B492" s="40" t="s">
        <v>60</v>
      </c>
      <c r="C492" s="33" t="s">
        <v>142</v>
      </c>
      <c r="D492" s="11"/>
      <c r="E492" s="11">
        <v>4365</v>
      </c>
      <c r="F492" s="11">
        <v>350</v>
      </c>
      <c r="G492" s="11">
        <v>0</v>
      </c>
      <c r="H492" s="11">
        <v>4150</v>
      </c>
      <c r="I492" s="11">
        <v>0</v>
      </c>
      <c r="J492" s="11">
        <v>0</v>
      </c>
      <c r="K492" s="11">
        <v>4200</v>
      </c>
      <c r="L492" s="11">
        <v>0</v>
      </c>
      <c r="M492" s="28">
        <f t="shared" si="72"/>
        <v>4200</v>
      </c>
      <c r="N492" s="28">
        <v>0</v>
      </c>
      <c r="O492" s="9">
        <f t="shared" si="71"/>
        <v>0.0001423742616623334</v>
      </c>
    </row>
    <row r="493" spans="1:15" ht="16.5" customHeight="1">
      <c r="A493" s="27"/>
      <c r="B493" s="40" t="s">
        <v>64</v>
      </c>
      <c r="C493" s="33" t="s">
        <v>144</v>
      </c>
      <c r="D493" s="11"/>
      <c r="E493" s="11">
        <v>6136</v>
      </c>
      <c r="F493" s="11">
        <v>800</v>
      </c>
      <c r="G493" s="11">
        <v>0</v>
      </c>
      <c r="H493" s="11">
        <v>6180</v>
      </c>
      <c r="I493" s="11">
        <v>0</v>
      </c>
      <c r="J493" s="11">
        <v>0</v>
      </c>
      <c r="K493" s="11">
        <v>6000</v>
      </c>
      <c r="L493" s="11">
        <v>0</v>
      </c>
      <c r="M493" s="28">
        <f t="shared" si="72"/>
        <v>6000</v>
      </c>
      <c r="N493" s="28">
        <v>0</v>
      </c>
      <c r="O493" s="9">
        <f t="shared" si="71"/>
        <v>0.00020339180237476201</v>
      </c>
    </row>
    <row r="494" spans="1:15" ht="18" customHeight="1">
      <c r="A494" s="27"/>
      <c r="B494" s="40" t="s">
        <v>66</v>
      </c>
      <c r="C494" s="33" t="s">
        <v>67</v>
      </c>
      <c r="D494" s="11"/>
      <c r="E494" s="11">
        <v>1250</v>
      </c>
      <c r="F494" s="11">
        <v>100</v>
      </c>
      <c r="G494" s="11">
        <v>0</v>
      </c>
      <c r="H494" s="11">
        <v>2600</v>
      </c>
      <c r="I494" s="11">
        <v>0</v>
      </c>
      <c r="J494" s="11">
        <v>0</v>
      </c>
      <c r="K494" s="11">
        <v>2500</v>
      </c>
      <c r="L494" s="11">
        <v>0</v>
      </c>
      <c r="M494" s="28">
        <f t="shared" si="72"/>
        <v>2500</v>
      </c>
      <c r="N494" s="28">
        <v>0</v>
      </c>
      <c r="O494" s="9">
        <f t="shared" si="71"/>
        <v>8.47465843228175E-05</v>
      </c>
    </row>
    <row r="495" spans="1:15" ht="18.75" customHeight="1">
      <c r="A495" s="27"/>
      <c r="B495" s="27" t="s">
        <v>68</v>
      </c>
      <c r="C495" s="14" t="s">
        <v>69</v>
      </c>
      <c r="D495" s="11">
        <v>71075</v>
      </c>
      <c r="E495" s="11">
        <v>479</v>
      </c>
      <c r="F495" s="11">
        <v>0</v>
      </c>
      <c r="G495" s="11">
        <v>0</v>
      </c>
      <c r="H495" s="11">
        <v>550</v>
      </c>
      <c r="I495" s="11">
        <v>0</v>
      </c>
      <c r="J495" s="11">
        <v>0</v>
      </c>
      <c r="K495" s="11">
        <v>700</v>
      </c>
      <c r="L495" s="11">
        <v>0</v>
      </c>
      <c r="M495" s="28">
        <f t="shared" si="72"/>
        <v>700</v>
      </c>
      <c r="N495" s="28">
        <v>0</v>
      </c>
      <c r="O495" s="9">
        <f t="shared" si="71"/>
        <v>2.37290436103889E-05</v>
      </c>
    </row>
    <row r="496" spans="1:15" ht="17.25" customHeight="1">
      <c r="A496" s="27"/>
      <c r="B496" s="27" t="s">
        <v>70</v>
      </c>
      <c r="C496" s="14" t="s">
        <v>71</v>
      </c>
      <c r="D496" s="11"/>
      <c r="E496" s="11">
        <v>21517</v>
      </c>
      <c r="F496" s="11">
        <v>0</v>
      </c>
      <c r="G496" s="11">
        <v>0</v>
      </c>
      <c r="H496" s="11">
        <v>13209</v>
      </c>
      <c r="I496" s="11">
        <v>0</v>
      </c>
      <c r="J496" s="11">
        <v>0</v>
      </c>
      <c r="K496" s="11">
        <v>11800</v>
      </c>
      <c r="L496" s="11">
        <v>0</v>
      </c>
      <c r="M496" s="28">
        <f t="shared" si="72"/>
        <v>11800</v>
      </c>
      <c r="N496" s="28">
        <v>0</v>
      </c>
      <c r="O496" s="9">
        <f t="shared" si="71"/>
        <v>0.0004000038780036986</v>
      </c>
    </row>
    <row r="497" spans="1:15" ht="17.25" customHeight="1">
      <c r="A497" s="27"/>
      <c r="B497" s="27" t="s">
        <v>86</v>
      </c>
      <c r="C497" s="14" t="s">
        <v>87</v>
      </c>
      <c r="D497" s="11"/>
      <c r="E497" s="11"/>
      <c r="F497" s="11"/>
      <c r="G497" s="11"/>
      <c r="H497" s="11"/>
      <c r="I497" s="11"/>
      <c r="J497" s="11"/>
      <c r="K497" s="11">
        <v>1356</v>
      </c>
      <c r="L497" s="11">
        <v>0</v>
      </c>
      <c r="M497" s="28">
        <f>K497</f>
        <v>1356</v>
      </c>
      <c r="N497" s="28">
        <v>0</v>
      </c>
      <c r="O497" s="9">
        <f t="shared" si="71"/>
        <v>4.5966547336696216E-05</v>
      </c>
    </row>
    <row r="498" spans="1:15" ht="15" customHeight="1">
      <c r="A498" s="30" t="s">
        <v>292</v>
      </c>
      <c r="B498" s="30"/>
      <c r="C498" s="7" t="s">
        <v>293</v>
      </c>
      <c r="D498" s="10">
        <f>D499+D500+D501+D511+D512</f>
        <v>1352143</v>
      </c>
      <c r="E498" s="10">
        <f>E499+E500+E501+E502+E503+E504+E505+E506+E507+E508+E509+E511+E510</f>
        <v>1297440</v>
      </c>
      <c r="F498" s="10">
        <f>F499+F500+F501+F502+F503+F504+F505+F506+F507+F508+F509+F511+F510</f>
        <v>12761</v>
      </c>
      <c r="G498" s="10">
        <f>G499+G500+G501+G502+G503+G504+G505+G506+G507+G508+G509+G511+G510</f>
        <v>11333</v>
      </c>
      <c r="H498" s="10" t="e">
        <f>H499+H500+H501+H502+H503+#REF!+H514+H515+H516+H518+#REF!+#REF!+H519+H517</f>
        <v>#REF!</v>
      </c>
      <c r="I498" s="10" t="e">
        <f>I499+I500+I501+I502+I503+#REF!+I514+I515+I516+I518+#REF!+#REF!+I519+I517</f>
        <v>#REF!</v>
      </c>
      <c r="J498" s="10" t="e">
        <f>J499+J500+J501+J502+J503+#REF!+J514+J515+J516+J518+#REF!+#REF!+J519+J517</f>
        <v>#REF!</v>
      </c>
      <c r="K498" s="10">
        <f>K499+K500+K501+K502+K503+K514+K515+K516+K518+K519+K521</f>
        <v>891309</v>
      </c>
      <c r="L498" s="10">
        <f>L499+L500+L501+L502+L503+L514+L515+L516+L518+L519+L517+L521</f>
        <v>0</v>
      </c>
      <c r="M498" s="10">
        <f>M499+M500+M501+M502+M503+M514+M515+M516+M518+M519+M517+M521</f>
        <v>891309</v>
      </c>
      <c r="N498" s="10">
        <f>N499+N500+N501+N502+N503+N514+N515+N516+N518+N519+N517</f>
        <v>0</v>
      </c>
      <c r="O498" s="9">
        <f t="shared" si="71"/>
        <v>0.03021415733047446</v>
      </c>
    </row>
    <row r="499" spans="1:15" ht="24" customHeight="1">
      <c r="A499" s="27"/>
      <c r="B499" s="27" t="s">
        <v>48</v>
      </c>
      <c r="C499" s="14" t="s">
        <v>49</v>
      </c>
      <c r="D499" s="11">
        <v>760149</v>
      </c>
      <c r="E499" s="11">
        <v>761652</v>
      </c>
      <c r="F499" s="11">
        <v>1187</v>
      </c>
      <c r="G499" s="11">
        <v>0</v>
      </c>
      <c r="H499" s="11">
        <v>423445</v>
      </c>
      <c r="I499" s="11">
        <v>0</v>
      </c>
      <c r="J499" s="11">
        <v>0</v>
      </c>
      <c r="K499" s="11">
        <v>356100</v>
      </c>
      <c r="L499" s="11">
        <v>0</v>
      </c>
      <c r="M499" s="28">
        <f>K499</f>
        <v>356100</v>
      </c>
      <c r="N499" s="28">
        <v>0</v>
      </c>
      <c r="O499" s="9">
        <f t="shared" si="71"/>
        <v>0.012071303470942126</v>
      </c>
    </row>
    <row r="500" spans="1:15" ht="15" customHeight="1">
      <c r="A500" s="27"/>
      <c r="B500" s="27" t="s">
        <v>52</v>
      </c>
      <c r="C500" s="14" t="s">
        <v>53</v>
      </c>
      <c r="D500" s="11">
        <v>56427</v>
      </c>
      <c r="E500" s="11">
        <v>62354</v>
      </c>
      <c r="F500" s="11">
        <v>0</v>
      </c>
      <c r="G500" s="11">
        <v>0</v>
      </c>
      <c r="H500" s="11">
        <v>38109</v>
      </c>
      <c r="I500" s="24">
        <v>0</v>
      </c>
      <c r="J500" s="24">
        <v>0</v>
      </c>
      <c r="K500" s="24">
        <v>32417</v>
      </c>
      <c r="L500" s="11">
        <v>0</v>
      </c>
      <c r="M500" s="28">
        <f aca="true" t="shared" si="73" ref="M500:M519">K500</f>
        <v>32417</v>
      </c>
      <c r="N500" s="28">
        <v>0</v>
      </c>
      <c r="O500" s="9">
        <f t="shared" si="71"/>
        <v>0.00109889200959711</v>
      </c>
    </row>
    <row r="501" spans="1:15" ht="19.5" customHeight="1">
      <c r="A501" s="27"/>
      <c r="B501" s="40" t="s">
        <v>106</v>
      </c>
      <c r="C501" s="14" t="s">
        <v>83</v>
      </c>
      <c r="D501" s="11">
        <v>162435</v>
      </c>
      <c r="E501" s="11">
        <v>143919</v>
      </c>
      <c r="F501" s="11">
        <v>212</v>
      </c>
      <c r="G501" s="11">
        <v>0</v>
      </c>
      <c r="H501" s="11">
        <v>80570</v>
      </c>
      <c r="I501" s="24">
        <v>0</v>
      </c>
      <c r="J501" s="24">
        <v>0</v>
      </c>
      <c r="K501" s="24">
        <v>69400</v>
      </c>
      <c r="L501" s="11">
        <v>0</v>
      </c>
      <c r="M501" s="28">
        <f t="shared" si="73"/>
        <v>69400</v>
      </c>
      <c r="N501" s="28">
        <v>0</v>
      </c>
      <c r="O501" s="9">
        <f t="shared" si="71"/>
        <v>0.002352565180801414</v>
      </c>
    </row>
    <row r="502" spans="1:15" ht="13.5" customHeight="1">
      <c r="A502" s="27"/>
      <c r="B502" s="40" t="s">
        <v>56</v>
      </c>
      <c r="C502" s="14" t="s">
        <v>57</v>
      </c>
      <c r="D502" s="11"/>
      <c r="E502" s="11">
        <v>19637</v>
      </c>
      <c r="F502" s="11">
        <v>29</v>
      </c>
      <c r="G502" s="11">
        <v>0</v>
      </c>
      <c r="H502" s="11">
        <v>10818</v>
      </c>
      <c r="I502" s="24">
        <v>0</v>
      </c>
      <c r="J502" s="24">
        <v>0</v>
      </c>
      <c r="K502" s="24">
        <v>9470</v>
      </c>
      <c r="L502" s="11">
        <v>0</v>
      </c>
      <c r="M502" s="28">
        <f t="shared" si="73"/>
        <v>9470</v>
      </c>
      <c r="N502" s="28">
        <v>0</v>
      </c>
      <c r="O502" s="9">
        <f t="shared" si="71"/>
        <v>0.0003210200614148327</v>
      </c>
    </row>
    <row r="503" spans="1:15" ht="18" customHeight="1">
      <c r="A503" s="27"/>
      <c r="B503" s="40" t="s">
        <v>44</v>
      </c>
      <c r="C503" s="14" t="s">
        <v>183</v>
      </c>
      <c r="D503" s="11"/>
      <c r="E503" s="11">
        <v>1600</v>
      </c>
      <c r="F503" s="11">
        <v>0</v>
      </c>
      <c r="G503" s="11">
        <v>140</v>
      </c>
      <c r="H503" s="11">
        <v>3300</v>
      </c>
      <c r="I503" s="24">
        <v>0</v>
      </c>
      <c r="J503" s="24">
        <v>0</v>
      </c>
      <c r="K503" s="24">
        <v>2734</v>
      </c>
      <c r="L503" s="11">
        <v>0</v>
      </c>
      <c r="M503" s="28">
        <f t="shared" si="73"/>
        <v>2734</v>
      </c>
      <c r="N503" s="28">
        <v>0</v>
      </c>
      <c r="O503" s="9">
        <f t="shared" si="71"/>
        <v>9.267886461543323E-05</v>
      </c>
    </row>
    <row r="504" spans="1:15" ht="18" customHeight="1" hidden="1">
      <c r="A504" s="27"/>
      <c r="B504" s="40" t="s">
        <v>44</v>
      </c>
      <c r="C504" s="14" t="s">
        <v>236</v>
      </c>
      <c r="D504" s="11"/>
      <c r="E504" s="11">
        <v>6404</v>
      </c>
      <c r="F504" s="11">
        <v>0</v>
      </c>
      <c r="G504" s="11">
        <v>357</v>
      </c>
      <c r="H504" s="11"/>
      <c r="I504" s="24">
        <f>I505</f>
        <v>0</v>
      </c>
      <c r="J504" s="24">
        <f>J505</f>
        <v>0</v>
      </c>
      <c r="K504" s="24"/>
      <c r="L504" s="11">
        <v>0</v>
      </c>
      <c r="M504" s="28">
        <f t="shared" si="73"/>
        <v>0</v>
      </c>
      <c r="N504" s="28">
        <v>0</v>
      </c>
      <c r="O504" s="9">
        <f t="shared" si="71"/>
        <v>0</v>
      </c>
    </row>
    <row r="505" spans="1:15" ht="18.75" customHeight="1" hidden="1">
      <c r="A505" s="27"/>
      <c r="B505" s="40" t="s">
        <v>58</v>
      </c>
      <c r="C505" s="14" t="s">
        <v>180</v>
      </c>
      <c r="D505" s="11"/>
      <c r="E505" s="11">
        <v>142200</v>
      </c>
      <c r="F505" s="11">
        <v>10663</v>
      </c>
      <c r="G505" s="11">
        <v>0</v>
      </c>
      <c r="H505" s="11"/>
      <c r="I505" s="24">
        <v>0</v>
      </c>
      <c r="J505" s="24">
        <v>0</v>
      </c>
      <c r="K505" s="24"/>
      <c r="L505" s="11">
        <v>0</v>
      </c>
      <c r="M505" s="28">
        <f t="shared" si="73"/>
        <v>0</v>
      </c>
      <c r="N505" s="28">
        <v>0</v>
      </c>
      <c r="O505" s="9">
        <f t="shared" si="71"/>
        <v>0</v>
      </c>
    </row>
    <row r="506" spans="1:15" ht="15.75" customHeight="1" hidden="1">
      <c r="A506" s="27"/>
      <c r="B506" s="40" t="s">
        <v>60</v>
      </c>
      <c r="C506" s="14" t="s">
        <v>142</v>
      </c>
      <c r="D506" s="11"/>
      <c r="E506" s="11">
        <v>85706</v>
      </c>
      <c r="F506" s="11">
        <v>0</v>
      </c>
      <c r="G506" s="11">
        <v>4000</v>
      </c>
      <c r="H506" s="11"/>
      <c r="I506" s="24">
        <f>I507+I510+I511+I512+I508+I509</f>
        <v>0</v>
      </c>
      <c r="J506" s="24">
        <f>J507+J510+J511+J512+J508+J509</f>
        <v>0</v>
      </c>
      <c r="K506" s="24"/>
      <c r="L506" s="11">
        <v>0</v>
      </c>
      <c r="M506" s="28">
        <f t="shared" si="73"/>
        <v>0</v>
      </c>
      <c r="N506" s="28">
        <v>0</v>
      </c>
      <c r="O506" s="9">
        <f t="shared" si="71"/>
        <v>0</v>
      </c>
    </row>
    <row r="507" spans="1:15" ht="15" customHeight="1" hidden="1">
      <c r="A507" s="27"/>
      <c r="B507" s="40" t="s">
        <v>62</v>
      </c>
      <c r="C507" s="14" t="s">
        <v>63</v>
      </c>
      <c r="D507" s="11"/>
      <c r="E507" s="11">
        <v>1000</v>
      </c>
      <c r="F507" s="11">
        <v>0</v>
      </c>
      <c r="G507" s="11">
        <v>1000</v>
      </c>
      <c r="H507" s="11"/>
      <c r="I507" s="24">
        <v>0</v>
      </c>
      <c r="J507" s="24">
        <v>0</v>
      </c>
      <c r="K507" s="24"/>
      <c r="L507" s="11">
        <v>0</v>
      </c>
      <c r="M507" s="28">
        <f t="shared" si="73"/>
        <v>0</v>
      </c>
      <c r="N507" s="28">
        <v>0</v>
      </c>
      <c r="O507" s="9">
        <f t="shared" si="71"/>
        <v>0</v>
      </c>
    </row>
    <row r="508" spans="1:15" ht="14.25" customHeight="1" hidden="1">
      <c r="A508" s="27"/>
      <c r="B508" s="40" t="s">
        <v>64</v>
      </c>
      <c r="C508" s="14" t="s">
        <v>144</v>
      </c>
      <c r="D508" s="11"/>
      <c r="E508" s="11">
        <v>27769</v>
      </c>
      <c r="F508" s="11">
        <v>0</v>
      </c>
      <c r="G508" s="11">
        <v>3670</v>
      </c>
      <c r="H508" s="11"/>
      <c r="I508" s="24">
        <v>0</v>
      </c>
      <c r="J508" s="24">
        <v>0</v>
      </c>
      <c r="K508" s="24"/>
      <c r="L508" s="11">
        <v>0</v>
      </c>
      <c r="M508" s="28">
        <f t="shared" si="73"/>
        <v>0</v>
      </c>
      <c r="N508" s="28">
        <v>0</v>
      </c>
      <c r="O508" s="9">
        <f t="shared" si="71"/>
        <v>0</v>
      </c>
    </row>
    <row r="509" spans="1:15" ht="15" customHeight="1" hidden="1">
      <c r="A509" s="27"/>
      <c r="B509" s="40" t="s">
        <v>66</v>
      </c>
      <c r="C509" s="14" t="s">
        <v>67</v>
      </c>
      <c r="D509" s="11"/>
      <c r="E509" s="11">
        <v>272</v>
      </c>
      <c r="F509" s="11">
        <v>0</v>
      </c>
      <c r="G509" s="11">
        <v>100</v>
      </c>
      <c r="H509" s="11"/>
      <c r="I509" s="24">
        <v>0</v>
      </c>
      <c r="J509" s="24">
        <v>0</v>
      </c>
      <c r="K509" s="24"/>
      <c r="L509" s="11">
        <v>0</v>
      </c>
      <c r="M509" s="28">
        <f t="shared" si="73"/>
        <v>0</v>
      </c>
      <c r="N509" s="28">
        <v>0</v>
      </c>
      <c r="O509" s="9">
        <f t="shared" si="71"/>
        <v>0</v>
      </c>
    </row>
    <row r="510" spans="1:15" ht="12.75" customHeight="1" hidden="1">
      <c r="A510" s="27"/>
      <c r="B510" s="40" t="s">
        <v>68</v>
      </c>
      <c r="C510" s="14" t="s">
        <v>69</v>
      </c>
      <c r="D510" s="11"/>
      <c r="E510" s="11">
        <v>513</v>
      </c>
      <c r="F510" s="11">
        <v>0</v>
      </c>
      <c r="G510" s="11">
        <v>0</v>
      </c>
      <c r="H510" s="11"/>
      <c r="I510" s="24">
        <v>0</v>
      </c>
      <c r="J510" s="24">
        <v>0</v>
      </c>
      <c r="K510" s="24"/>
      <c r="L510" s="11">
        <v>0</v>
      </c>
      <c r="M510" s="28">
        <f t="shared" si="73"/>
        <v>0</v>
      </c>
      <c r="N510" s="28">
        <v>0</v>
      </c>
      <c r="O510" s="9">
        <f t="shared" si="71"/>
        <v>0</v>
      </c>
    </row>
    <row r="511" spans="1:15" ht="12.75" customHeight="1" hidden="1">
      <c r="A511" s="27"/>
      <c r="B511" s="27" t="s">
        <v>70</v>
      </c>
      <c r="C511" s="11" t="s">
        <v>71</v>
      </c>
      <c r="D511" s="11">
        <v>281900</v>
      </c>
      <c r="E511" s="11">
        <v>44414</v>
      </c>
      <c r="F511" s="11">
        <v>670</v>
      </c>
      <c r="G511" s="11">
        <v>2066</v>
      </c>
      <c r="H511" s="11"/>
      <c r="I511" s="24">
        <v>0</v>
      </c>
      <c r="J511" s="24">
        <v>0</v>
      </c>
      <c r="K511" s="24"/>
      <c r="L511" s="11">
        <v>0</v>
      </c>
      <c r="M511" s="28">
        <f t="shared" si="73"/>
        <v>0</v>
      </c>
      <c r="N511" s="28">
        <v>0</v>
      </c>
      <c r="O511" s="9">
        <f t="shared" si="71"/>
        <v>0</v>
      </c>
    </row>
    <row r="512" spans="1:15" ht="14.25" customHeight="1" hidden="1">
      <c r="A512" s="27"/>
      <c r="B512" s="27" t="s">
        <v>91</v>
      </c>
      <c r="C512" s="11" t="s">
        <v>294</v>
      </c>
      <c r="D512" s="11">
        <v>91232</v>
      </c>
      <c r="E512" s="11">
        <v>0</v>
      </c>
      <c r="F512" s="11"/>
      <c r="G512" s="11"/>
      <c r="H512" s="11"/>
      <c r="I512" s="24">
        <v>0</v>
      </c>
      <c r="J512" s="24">
        <v>0</v>
      </c>
      <c r="K512" s="24"/>
      <c r="L512" s="11">
        <v>0</v>
      </c>
      <c r="M512" s="28">
        <f t="shared" si="73"/>
        <v>0</v>
      </c>
      <c r="N512" s="28">
        <v>0</v>
      </c>
      <c r="O512" s="9">
        <f t="shared" si="71"/>
        <v>0</v>
      </c>
    </row>
    <row r="513" spans="1:15" ht="35.25" customHeight="1" hidden="1">
      <c r="A513" s="30" t="s">
        <v>295</v>
      </c>
      <c r="B513" s="30"/>
      <c r="C513" s="7" t="s">
        <v>296</v>
      </c>
      <c r="D513" s="10" t="e">
        <f>#REF!+D515</f>
        <v>#REF!</v>
      </c>
      <c r="E513" s="10" t="e">
        <f>#REF!+E515</f>
        <v>#REF!</v>
      </c>
      <c r="F513" s="10"/>
      <c r="G513" s="10"/>
      <c r="H513" s="10" t="e">
        <f>#REF!+H514+H515</f>
        <v>#REF!</v>
      </c>
      <c r="I513" s="24" t="e">
        <f>#REF!</f>
        <v>#REF!</v>
      </c>
      <c r="J513" s="24" t="e">
        <f>#REF!</f>
        <v>#REF!</v>
      </c>
      <c r="K513" s="24"/>
      <c r="L513" s="11">
        <v>0</v>
      </c>
      <c r="M513" s="28">
        <f t="shared" si="73"/>
        <v>0</v>
      </c>
      <c r="N513" s="28">
        <v>0</v>
      </c>
      <c r="O513" s="9">
        <f t="shared" si="71"/>
        <v>0</v>
      </c>
    </row>
    <row r="514" spans="1:15" ht="18.75" customHeight="1">
      <c r="A514" s="30"/>
      <c r="B514" s="38" t="s">
        <v>184</v>
      </c>
      <c r="C514" s="33" t="s">
        <v>194</v>
      </c>
      <c r="D514" s="24"/>
      <c r="E514" s="24"/>
      <c r="F514" s="24"/>
      <c r="G514" s="24"/>
      <c r="H514" s="24">
        <v>1510</v>
      </c>
      <c r="I514" s="24">
        <v>0</v>
      </c>
      <c r="J514" s="24">
        <v>0</v>
      </c>
      <c r="K514" s="24">
        <v>1500</v>
      </c>
      <c r="L514" s="11">
        <v>0</v>
      </c>
      <c r="M514" s="28">
        <f t="shared" si="73"/>
        <v>1500</v>
      </c>
      <c r="N514" s="28">
        <v>0</v>
      </c>
      <c r="O514" s="9">
        <f t="shared" si="71"/>
        <v>5.0847950593690504E-05</v>
      </c>
    </row>
    <row r="515" spans="1:15" ht="13.5" customHeight="1">
      <c r="A515" s="27"/>
      <c r="B515" s="40" t="s">
        <v>58</v>
      </c>
      <c r="C515" s="14" t="s">
        <v>85</v>
      </c>
      <c r="D515" s="11">
        <v>200</v>
      </c>
      <c r="E515" s="11">
        <v>0</v>
      </c>
      <c r="F515" s="11"/>
      <c r="G515" s="11"/>
      <c r="H515" s="11">
        <v>274414</v>
      </c>
      <c r="I515" s="24">
        <v>0</v>
      </c>
      <c r="J515" s="24">
        <v>0</v>
      </c>
      <c r="K515" s="24">
        <v>274800</v>
      </c>
      <c r="L515" s="11">
        <v>0</v>
      </c>
      <c r="M515" s="28">
        <f t="shared" si="73"/>
        <v>274800</v>
      </c>
      <c r="N515" s="28">
        <v>0</v>
      </c>
      <c r="O515" s="9">
        <f t="shared" si="71"/>
        <v>0.0093153445487641</v>
      </c>
    </row>
    <row r="516" spans="1:15" ht="13.5" customHeight="1">
      <c r="A516" s="27"/>
      <c r="B516" s="40" t="s">
        <v>60</v>
      </c>
      <c r="C516" s="14" t="s">
        <v>142</v>
      </c>
      <c r="D516" s="11"/>
      <c r="E516" s="11"/>
      <c r="F516" s="11"/>
      <c r="G516" s="11"/>
      <c r="H516" s="11">
        <v>78779</v>
      </c>
      <c r="I516" s="24">
        <v>0</v>
      </c>
      <c r="J516" s="24">
        <v>0</v>
      </c>
      <c r="K516" s="24">
        <v>85600</v>
      </c>
      <c r="L516" s="11">
        <v>0</v>
      </c>
      <c r="M516" s="28">
        <f t="shared" si="73"/>
        <v>85600</v>
      </c>
      <c r="N516" s="28">
        <v>0</v>
      </c>
      <c r="O516" s="9">
        <f t="shared" si="71"/>
        <v>0.002901723047213271</v>
      </c>
    </row>
    <row r="517" spans="1:15" ht="13.5" customHeight="1" hidden="1">
      <c r="A517" s="27"/>
      <c r="B517" s="40" t="s">
        <v>62</v>
      </c>
      <c r="C517" s="14" t="s">
        <v>63</v>
      </c>
      <c r="D517" s="11"/>
      <c r="E517" s="11"/>
      <c r="F517" s="11"/>
      <c r="G517" s="11"/>
      <c r="H517" s="11">
        <v>7200</v>
      </c>
      <c r="I517" s="24">
        <v>0</v>
      </c>
      <c r="J517" s="24">
        <v>0</v>
      </c>
      <c r="K517" s="24">
        <v>0</v>
      </c>
      <c r="L517" s="11">
        <v>0</v>
      </c>
      <c r="M517" s="28">
        <f t="shared" si="73"/>
        <v>0</v>
      </c>
      <c r="N517" s="28">
        <v>0</v>
      </c>
      <c r="O517" s="9">
        <f t="shared" si="71"/>
        <v>0</v>
      </c>
    </row>
    <row r="518" spans="1:15" ht="13.5" customHeight="1">
      <c r="A518" s="27"/>
      <c r="B518" s="40" t="s">
        <v>64</v>
      </c>
      <c r="C518" s="14" t="s">
        <v>144</v>
      </c>
      <c r="D518" s="11"/>
      <c r="E518" s="11"/>
      <c r="F518" s="11"/>
      <c r="G518" s="11"/>
      <c r="H518" s="11">
        <v>42348</v>
      </c>
      <c r="I518" s="24">
        <v>0</v>
      </c>
      <c r="J518" s="24">
        <v>0</v>
      </c>
      <c r="K518" s="24">
        <v>39410</v>
      </c>
      <c r="L518" s="11">
        <v>0</v>
      </c>
      <c r="M518" s="28">
        <f t="shared" si="73"/>
        <v>39410</v>
      </c>
      <c r="N518" s="28">
        <v>0</v>
      </c>
      <c r="O518" s="9">
        <f t="shared" si="71"/>
        <v>0.0013359451552648952</v>
      </c>
    </row>
    <row r="519" spans="1:15" ht="13.5" customHeight="1">
      <c r="A519" s="27"/>
      <c r="B519" s="40" t="s">
        <v>70</v>
      </c>
      <c r="C519" s="14" t="s">
        <v>71</v>
      </c>
      <c r="D519" s="11"/>
      <c r="E519" s="11"/>
      <c r="F519" s="11"/>
      <c r="G519" s="11"/>
      <c r="H519" s="11">
        <v>21585</v>
      </c>
      <c r="I519" s="24">
        <v>0</v>
      </c>
      <c r="J519" s="24">
        <v>0</v>
      </c>
      <c r="K519" s="24">
        <v>15678</v>
      </c>
      <c r="L519" s="11">
        <v>0</v>
      </c>
      <c r="M519" s="28">
        <f t="shared" si="73"/>
        <v>15678</v>
      </c>
      <c r="N519" s="28">
        <v>0</v>
      </c>
      <c r="O519" s="9">
        <f t="shared" si="71"/>
        <v>0.0005314627796052531</v>
      </c>
    </row>
    <row r="520" spans="1:15" ht="15.75" customHeight="1" hidden="1">
      <c r="A520" s="30" t="s">
        <v>297</v>
      </c>
      <c r="B520" s="42"/>
      <c r="C520" s="7" t="s">
        <v>298</v>
      </c>
      <c r="D520" s="10"/>
      <c r="E520" s="10">
        <f aca="true" t="shared" si="74" ref="E520:N520">E521</f>
        <v>94026</v>
      </c>
      <c r="F520" s="10">
        <f t="shared" si="74"/>
        <v>0</v>
      </c>
      <c r="G520" s="10">
        <f t="shared" si="74"/>
        <v>0</v>
      </c>
      <c r="H520" s="10">
        <f t="shared" si="74"/>
        <v>59352</v>
      </c>
      <c r="I520" s="10">
        <f>I521</f>
        <v>0</v>
      </c>
      <c r="J520" s="10">
        <f>J521</f>
        <v>0</v>
      </c>
      <c r="K520" s="10">
        <v>0</v>
      </c>
      <c r="L520" s="10">
        <f t="shared" si="74"/>
        <v>0</v>
      </c>
      <c r="M520" s="23">
        <v>0</v>
      </c>
      <c r="N520" s="23">
        <f t="shared" si="74"/>
        <v>0</v>
      </c>
      <c r="O520" s="9">
        <f t="shared" si="71"/>
        <v>0</v>
      </c>
    </row>
    <row r="521" spans="1:15" ht="15.75" customHeight="1">
      <c r="A521" s="27"/>
      <c r="B521" s="40" t="s">
        <v>86</v>
      </c>
      <c r="C521" s="14" t="s">
        <v>87</v>
      </c>
      <c r="D521" s="11"/>
      <c r="E521" s="11">
        <v>94026</v>
      </c>
      <c r="F521" s="11">
        <v>0</v>
      </c>
      <c r="G521" s="11">
        <v>0</v>
      </c>
      <c r="H521" s="11">
        <v>59352</v>
      </c>
      <c r="I521" s="24">
        <v>0</v>
      </c>
      <c r="J521" s="24">
        <v>0</v>
      </c>
      <c r="K521" s="24">
        <v>4200</v>
      </c>
      <c r="L521" s="11">
        <v>0</v>
      </c>
      <c r="M521" s="28">
        <f>K521</f>
        <v>4200</v>
      </c>
      <c r="N521" s="28">
        <v>0</v>
      </c>
      <c r="O521" s="9">
        <f t="shared" si="71"/>
        <v>0.0001423742616623334</v>
      </c>
    </row>
    <row r="522" spans="1:15" ht="12.75" customHeight="1">
      <c r="A522" s="30" t="s">
        <v>300</v>
      </c>
      <c r="B522" s="30"/>
      <c r="C522" s="7" t="s">
        <v>301</v>
      </c>
      <c r="D522" s="10">
        <f>D523+D526</f>
        <v>24996</v>
      </c>
      <c r="E522" s="10">
        <f>E523+E526+E527+E528+E524+E525</f>
        <v>24996</v>
      </c>
      <c r="F522" s="10">
        <f>F523+F526+F527+F528+F524+F525</f>
        <v>325</v>
      </c>
      <c r="G522" s="10">
        <f>G523+G526+G527+G528+G524+G525</f>
        <v>325</v>
      </c>
      <c r="H522" s="10">
        <f>H523+H524+H525+H526+H527</f>
        <v>12498</v>
      </c>
      <c r="I522" s="10">
        <f>I523+I524+I525+I526+I527</f>
        <v>0</v>
      </c>
      <c r="J522" s="10">
        <f>J523+J524+J525+J526+J527</f>
        <v>0</v>
      </c>
      <c r="K522" s="10">
        <f>K523+K524+K525+K526+K527</f>
        <v>9000</v>
      </c>
      <c r="L522" s="10">
        <f>L523+L524+L525+L526+L527+L528</f>
        <v>0</v>
      </c>
      <c r="M522" s="23">
        <f>M523+M524+M525+M526+M527+M528</f>
        <v>3000</v>
      </c>
      <c r="N522" s="23">
        <f>N523+N524+N525+N526</f>
        <v>6000</v>
      </c>
      <c r="O522" s="9">
        <f t="shared" si="71"/>
        <v>0.000305087703562143</v>
      </c>
    </row>
    <row r="523" spans="1:15" ht="24.75" customHeight="1">
      <c r="A523" s="27"/>
      <c r="B523" s="27" t="s">
        <v>112</v>
      </c>
      <c r="C523" s="14" t="s">
        <v>302</v>
      </c>
      <c r="D523" s="11">
        <v>16664</v>
      </c>
      <c r="E523" s="11">
        <v>16664</v>
      </c>
      <c r="F523" s="11">
        <v>0</v>
      </c>
      <c r="G523" s="11">
        <v>0</v>
      </c>
      <c r="H523" s="11">
        <v>8332</v>
      </c>
      <c r="I523" s="24">
        <v>0</v>
      </c>
      <c r="J523" s="24">
        <v>0</v>
      </c>
      <c r="K523" s="24">
        <v>6000</v>
      </c>
      <c r="L523" s="11">
        <v>0</v>
      </c>
      <c r="M523" s="28">
        <v>0</v>
      </c>
      <c r="N523" s="28">
        <f>K523</f>
        <v>6000</v>
      </c>
      <c r="O523" s="9">
        <f t="shared" si="71"/>
        <v>0.00020339180237476201</v>
      </c>
    </row>
    <row r="524" spans="1:15" ht="15" customHeight="1">
      <c r="A524" s="27"/>
      <c r="B524" s="27" t="s">
        <v>82</v>
      </c>
      <c r="C524" s="14" t="s">
        <v>303</v>
      </c>
      <c r="D524" s="11"/>
      <c r="E524" s="11">
        <v>286</v>
      </c>
      <c r="F524" s="11">
        <v>286</v>
      </c>
      <c r="G524" s="11">
        <v>0</v>
      </c>
      <c r="H524" s="11">
        <v>286</v>
      </c>
      <c r="I524" s="24">
        <v>0</v>
      </c>
      <c r="J524" s="24">
        <v>0</v>
      </c>
      <c r="K524" s="24">
        <v>322</v>
      </c>
      <c r="L524" s="11">
        <v>0</v>
      </c>
      <c r="M524" s="28">
        <f>K524</f>
        <v>322</v>
      </c>
      <c r="N524" s="28">
        <v>0</v>
      </c>
      <c r="O524" s="9">
        <f t="shared" si="71"/>
        <v>1.0915360060778894E-05</v>
      </c>
    </row>
    <row r="525" spans="1:15" ht="14.25" customHeight="1">
      <c r="A525" s="27"/>
      <c r="B525" s="27" t="s">
        <v>56</v>
      </c>
      <c r="C525" s="14" t="s">
        <v>276</v>
      </c>
      <c r="D525" s="11"/>
      <c r="E525" s="11">
        <v>39</v>
      </c>
      <c r="F525" s="11">
        <v>39</v>
      </c>
      <c r="G525" s="11">
        <v>0</v>
      </c>
      <c r="H525" s="11">
        <v>39</v>
      </c>
      <c r="I525" s="24">
        <v>0</v>
      </c>
      <c r="J525" s="24">
        <v>0</v>
      </c>
      <c r="K525" s="24">
        <v>44</v>
      </c>
      <c r="L525" s="11">
        <v>0</v>
      </c>
      <c r="M525" s="28">
        <f>K525</f>
        <v>44</v>
      </c>
      <c r="N525" s="28">
        <v>0</v>
      </c>
      <c r="O525" s="9">
        <f t="shared" si="71"/>
        <v>1.491539884081588E-06</v>
      </c>
    </row>
    <row r="526" spans="1:15" ht="17.25" customHeight="1" hidden="1">
      <c r="A526" s="27"/>
      <c r="B526" s="27" t="s">
        <v>58</v>
      </c>
      <c r="C526" s="14" t="s">
        <v>85</v>
      </c>
      <c r="D526" s="11">
        <v>8332</v>
      </c>
      <c r="E526" s="11">
        <v>3107</v>
      </c>
      <c r="F526" s="11">
        <v>0</v>
      </c>
      <c r="G526" s="11">
        <v>325</v>
      </c>
      <c r="H526" s="11">
        <v>1000</v>
      </c>
      <c r="I526" s="24">
        <v>0</v>
      </c>
      <c r="J526" s="24">
        <v>0</v>
      </c>
      <c r="K526" s="24">
        <v>0</v>
      </c>
      <c r="L526" s="11">
        <v>0</v>
      </c>
      <c r="M526" s="28">
        <f>K526</f>
        <v>0</v>
      </c>
      <c r="N526" s="28">
        <v>0</v>
      </c>
      <c r="O526" s="9">
        <f t="shared" si="71"/>
        <v>0</v>
      </c>
    </row>
    <row r="527" spans="1:15" ht="17.25" customHeight="1">
      <c r="A527" s="27"/>
      <c r="B527" s="27" t="s">
        <v>64</v>
      </c>
      <c r="C527" s="14" t="s">
        <v>65</v>
      </c>
      <c r="D527" s="11"/>
      <c r="E527" s="11">
        <v>2500</v>
      </c>
      <c r="F527" s="11">
        <v>0</v>
      </c>
      <c r="G527" s="11">
        <v>0</v>
      </c>
      <c r="H527" s="11">
        <v>2841</v>
      </c>
      <c r="I527" s="24">
        <v>0</v>
      </c>
      <c r="J527" s="24">
        <v>0</v>
      </c>
      <c r="K527" s="24">
        <v>2634</v>
      </c>
      <c r="L527" s="11">
        <v>0</v>
      </c>
      <c r="M527" s="28">
        <f>K527</f>
        <v>2634</v>
      </c>
      <c r="N527" s="28">
        <v>0</v>
      </c>
      <c r="O527" s="9">
        <f t="shared" si="71"/>
        <v>8.928900124252052E-05</v>
      </c>
    </row>
    <row r="528" spans="1:15" ht="15.75" customHeight="1" hidden="1">
      <c r="A528" s="27"/>
      <c r="B528" s="27" t="s">
        <v>46</v>
      </c>
      <c r="C528" s="14" t="s">
        <v>304</v>
      </c>
      <c r="D528" s="11"/>
      <c r="E528" s="11">
        <v>2400</v>
      </c>
      <c r="F528" s="11">
        <v>0</v>
      </c>
      <c r="G528" s="11">
        <v>0</v>
      </c>
      <c r="H528" s="11"/>
      <c r="I528" s="11"/>
      <c r="J528" s="11"/>
      <c r="K528" s="11"/>
      <c r="L528" s="11"/>
      <c r="M528" s="28"/>
      <c r="N528" s="28"/>
      <c r="O528" s="9">
        <f t="shared" si="71"/>
        <v>0</v>
      </c>
    </row>
    <row r="529" spans="1:15" ht="13.5" customHeight="1">
      <c r="A529" s="30" t="s">
        <v>305</v>
      </c>
      <c r="B529" s="30"/>
      <c r="C529" s="7" t="s">
        <v>124</v>
      </c>
      <c r="D529" s="10"/>
      <c r="E529" s="10">
        <f aca="true" t="shared" si="75" ref="E529:N529">E530</f>
        <v>0</v>
      </c>
      <c r="F529" s="10">
        <f t="shared" si="75"/>
        <v>27582</v>
      </c>
      <c r="G529" s="10">
        <f t="shared" si="75"/>
        <v>0</v>
      </c>
      <c r="H529" s="10">
        <f t="shared" si="75"/>
        <v>12123</v>
      </c>
      <c r="I529" s="10">
        <f>I530</f>
        <v>0</v>
      </c>
      <c r="J529" s="10">
        <f>J530</f>
        <v>0</v>
      </c>
      <c r="K529" s="10">
        <f>K530</f>
        <v>8887</v>
      </c>
      <c r="L529" s="10">
        <f t="shared" si="75"/>
        <v>0</v>
      </c>
      <c r="M529" s="23">
        <f t="shared" si="75"/>
        <v>8887</v>
      </c>
      <c r="N529" s="23">
        <f t="shared" si="75"/>
        <v>0</v>
      </c>
      <c r="O529" s="9">
        <f t="shared" si="71"/>
        <v>0.00030125715795075163</v>
      </c>
    </row>
    <row r="530" spans="1:15" ht="17.25" customHeight="1">
      <c r="A530" s="27"/>
      <c r="B530" s="27" t="s">
        <v>70</v>
      </c>
      <c r="C530" s="14" t="s">
        <v>71</v>
      </c>
      <c r="D530" s="11"/>
      <c r="E530" s="11">
        <v>0</v>
      </c>
      <c r="F530" s="11">
        <v>27582</v>
      </c>
      <c r="G530" s="11">
        <v>0</v>
      </c>
      <c r="H530" s="11">
        <v>12123</v>
      </c>
      <c r="I530" s="28">
        <v>0</v>
      </c>
      <c r="J530" s="28">
        <v>0</v>
      </c>
      <c r="K530" s="28">
        <v>8887</v>
      </c>
      <c r="L530" s="11">
        <v>0</v>
      </c>
      <c r="M530" s="28">
        <f>K530</f>
        <v>8887</v>
      </c>
      <c r="N530" s="28">
        <v>0</v>
      </c>
      <c r="O530" s="9">
        <f t="shared" si="71"/>
        <v>0.00030125715795075163</v>
      </c>
    </row>
    <row r="531" spans="1:15" ht="24" customHeight="1">
      <c r="A531" s="30" t="s">
        <v>306</v>
      </c>
      <c r="B531" s="30"/>
      <c r="C531" s="7" t="s">
        <v>307</v>
      </c>
      <c r="D531" s="10">
        <f aca="true" t="shared" si="76" ref="D531:N531">D532+D534</f>
        <v>5000</v>
      </c>
      <c r="E531" s="10">
        <f t="shared" si="76"/>
        <v>45000</v>
      </c>
      <c r="F531" s="10">
        <f t="shared" si="76"/>
        <v>0</v>
      </c>
      <c r="G531" s="10">
        <f t="shared" si="76"/>
        <v>0</v>
      </c>
      <c r="H531" s="10">
        <f>H532+H534</f>
        <v>37000</v>
      </c>
      <c r="I531" s="10">
        <f>I532+I534</f>
        <v>0</v>
      </c>
      <c r="J531" s="10">
        <f>J532+J534</f>
        <v>0</v>
      </c>
      <c r="K531" s="10">
        <f>K532+K534</f>
        <v>40100</v>
      </c>
      <c r="L531" s="10">
        <f t="shared" si="76"/>
        <v>0</v>
      </c>
      <c r="M531" s="23">
        <f t="shared" si="76"/>
        <v>7100</v>
      </c>
      <c r="N531" s="23">
        <f t="shared" si="76"/>
        <v>33000</v>
      </c>
      <c r="O531" s="9">
        <f t="shared" si="71"/>
        <v>0.0013593352125379928</v>
      </c>
    </row>
    <row r="532" spans="1:15" ht="15" customHeight="1">
      <c r="A532" s="30" t="s">
        <v>308</v>
      </c>
      <c r="B532" s="30"/>
      <c r="C532" s="7" t="s">
        <v>309</v>
      </c>
      <c r="D532" s="10">
        <f aca="true" t="shared" si="77" ref="D532:N532">D533</f>
        <v>0</v>
      </c>
      <c r="E532" s="10">
        <f t="shared" si="77"/>
        <v>30000</v>
      </c>
      <c r="F532" s="10">
        <f t="shared" si="77"/>
        <v>0</v>
      </c>
      <c r="G532" s="10">
        <f t="shared" si="77"/>
        <v>0</v>
      </c>
      <c r="H532" s="10">
        <f t="shared" si="77"/>
        <v>30000</v>
      </c>
      <c r="I532" s="10">
        <f>I533</f>
        <v>0</v>
      </c>
      <c r="J532" s="10">
        <f>J533</f>
        <v>0</v>
      </c>
      <c r="K532" s="10">
        <f>K533</f>
        <v>30000</v>
      </c>
      <c r="L532" s="10">
        <f t="shared" si="77"/>
        <v>0</v>
      </c>
      <c r="M532" s="23">
        <f t="shared" si="77"/>
        <v>0</v>
      </c>
      <c r="N532" s="23">
        <f t="shared" si="77"/>
        <v>30000</v>
      </c>
      <c r="O532" s="9">
        <f t="shared" si="71"/>
        <v>0.00101695901187381</v>
      </c>
    </row>
    <row r="533" spans="1:15" ht="24" customHeight="1">
      <c r="A533" s="27"/>
      <c r="B533" s="27" t="s">
        <v>112</v>
      </c>
      <c r="C533" s="14" t="s">
        <v>310</v>
      </c>
      <c r="D533" s="11">
        <v>0</v>
      </c>
      <c r="E533" s="11">
        <v>30000</v>
      </c>
      <c r="F533" s="11">
        <v>0</v>
      </c>
      <c r="G533" s="11">
        <v>0</v>
      </c>
      <c r="H533" s="11">
        <v>30000</v>
      </c>
      <c r="I533" s="11">
        <v>0</v>
      </c>
      <c r="J533" s="11">
        <v>0</v>
      </c>
      <c r="K533" s="11">
        <v>30000</v>
      </c>
      <c r="L533" s="11">
        <v>0</v>
      </c>
      <c r="M533" s="28">
        <v>0</v>
      </c>
      <c r="N533" s="28">
        <f>K533</f>
        <v>30000</v>
      </c>
      <c r="O533" s="9">
        <f t="shared" si="71"/>
        <v>0.00101695901187381</v>
      </c>
    </row>
    <row r="534" spans="1:15" ht="15" customHeight="1">
      <c r="A534" s="30" t="s">
        <v>311</v>
      </c>
      <c r="B534" s="27"/>
      <c r="C534" s="7" t="s">
        <v>124</v>
      </c>
      <c r="D534" s="10">
        <f>D540</f>
        <v>5000</v>
      </c>
      <c r="E534" s="10">
        <f>E538+E539+E535</f>
        <v>15000</v>
      </c>
      <c r="F534" s="10">
        <f>F538+F539+F535</f>
        <v>0</v>
      </c>
      <c r="G534" s="10">
        <f>G538+G539+G535</f>
        <v>0</v>
      </c>
      <c r="H534" s="10">
        <f>H538+H539+H536</f>
        <v>7000</v>
      </c>
      <c r="I534" s="10">
        <f>I538+I539+I536</f>
        <v>0</v>
      </c>
      <c r="J534" s="10">
        <f>J538+J539+J536</f>
        <v>0</v>
      </c>
      <c r="K534" s="10">
        <f>K538+K539+K537</f>
        <v>10100</v>
      </c>
      <c r="L534" s="10">
        <f>L538+L539+L537</f>
        <v>0</v>
      </c>
      <c r="M534" s="10">
        <f>M538+M539+M537</f>
        <v>7100</v>
      </c>
      <c r="N534" s="10">
        <f>N538+N539+N537</f>
        <v>3000</v>
      </c>
      <c r="O534" s="9">
        <f t="shared" si="71"/>
        <v>0.00034237620066418273</v>
      </c>
    </row>
    <row r="535" spans="1:15" ht="14.25" customHeight="1" hidden="1">
      <c r="A535" s="30"/>
      <c r="B535" s="27"/>
      <c r="C535" s="33" t="s">
        <v>97</v>
      </c>
      <c r="D535" s="24"/>
      <c r="E535" s="24">
        <v>240</v>
      </c>
      <c r="F535" s="24">
        <v>0</v>
      </c>
      <c r="G535" s="24">
        <v>0</v>
      </c>
      <c r="H535" s="24">
        <v>0</v>
      </c>
      <c r="I535" s="11">
        <f>I182</f>
        <v>0</v>
      </c>
      <c r="J535" s="11">
        <f>J182</f>
        <v>0</v>
      </c>
      <c r="K535" s="11"/>
      <c r="L535" s="24">
        <v>0</v>
      </c>
      <c r="M535" s="25">
        <f>H535</f>
        <v>0</v>
      </c>
      <c r="N535" s="25">
        <v>0</v>
      </c>
      <c r="O535" s="9">
        <f t="shared" si="71"/>
        <v>0</v>
      </c>
    </row>
    <row r="536" spans="1:15" ht="28.5" customHeight="1" hidden="1">
      <c r="A536" s="30"/>
      <c r="B536" s="27" t="s">
        <v>112</v>
      </c>
      <c r="C536" s="14" t="s">
        <v>302</v>
      </c>
      <c r="D536" s="24"/>
      <c r="E536" s="24"/>
      <c r="F536" s="24"/>
      <c r="G536" s="24"/>
      <c r="H536" s="24">
        <v>600</v>
      </c>
      <c r="I536" s="11">
        <v>0</v>
      </c>
      <c r="J536" s="11">
        <v>0</v>
      </c>
      <c r="K536" s="11">
        <v>0</v>
      </c>
      <c r="L536" s="24">
        <v>0</v>
      </c>
      <c r="M536" s="25">
        <v>0</v>
      </c>
      <c r="N536" s="25">
        <v>0</v>
      </c>
      <c r="O536" s="9">
        <f t="shared" si="71"/>
        <v>0</v>
      </c>
    </row>
    <row r="537" spans="1:15" ht="24" customHeight="1">
      <c r="A537" s="30"/>
      <c r="B537" s="27" t="s">
        <v>112</v>
      </c>
      <c r="C537" s="14" t="s">
        <v>302</v>
      </c>
      <c r="D537" s="24"/>
      <c r="E537" s="24"/>
      <c r="F537" s="24"/>
      <c r="G537" s="24"/>
      <c r="H537" s="24"/>
      <c r="I537" s="11"/>
      <c r="J537" s="11"/>
      <c r="K537" s="11">
        <v>3000</v>
      </c>
      <c r="L537" s="24">
        <v>0</v>
      </c>
      <c r="M537" s="25">
        <v>0</v>
      </c>
      <c r="N537" s="25">
        <v>3000</v>
      </c>
      <c r="O537" s="9"/>
    </row>
    <row r="538" spans="1:15" ht="15" customHeight="1">
      <c r="A538" s="30"/>
      <c r="B538" s="27" t="s">
        <v>58</v>
      </c>
      <c r="C538" s="33" t="s">
        <v>85</v>
      </c>
      <c r="D538" s="24"/>
      <c r="E538" s="24">
        <v>10760</v>
      </c>
      <c r="F538" s="24">
        <v>0</v>
      </c>
      <c r="G538" s="24">
        <v>0</v>
      </c>
      <c r="H538" s="24">
        <v>4600</v>
      </c>
      <c r="I538" s="11">
        <v>0</v>
      </c>
      <c r="J538" s="11">
        <v>0</v>
      </c>
      <c r="K538" s="11">
        <v>3070</v>
      </c>
      <c r="L538" s="24">
        <v>0</v>
      </c>
      <c r="M538" s="25">
        <f>K538</f>
        <v>3070</v>
      </c>
      <c r="N538" s="25">
        <v>0</v>
      </c>
      <c r="O538" s="9">
        <f t="shared" si="71"/>
        <v>0.00010406880554841989</v>
      </c>
    </row>
    <row r="539" spans="1:15" ht="13.5" customHeight="1">
      <c r="A539" s="30"/>
      <c r="B539" s="27" t="s">
        <v>64</v>
      </c>
      <c r="C539" s="33" t="s">
        <v>65</v>
      </c>
      <c r="D539" s="24"/>
      <c r="E539" s="24">
        <v>4000</v>
      </c>
      <c r="F539" s="24">
        <v>0</v>
      </c>
      <c r="G539" s="24">
        <v>0</v>
      </c>
      <c r="H539" s="24">
        <v>1800</v>
      </c>
      <c r="I539" s="11">
        <v>0</v>
      </c>
      <c r="J539" s="11">
        <v>0</v>
      </c>
      <c r="K539" s="11">
        <v>4030</v>
      </c>
      <c r="L539" s="24">
        <v>0</v>
      </c>
      <c r="M539" s="25">
        <f>K539</f>
        <v>4030</v>
      </c>
      <c r="N539" s="25">
        <v>0</v>
      </c>
      <c r="O539" s="9">
        <f t="shared" si="71"/>
        <v>0.0001366114939283818</v>
      </c>
    </row>
    <row r="540" spans="1:15" ht="18" customHeight="1" hidden="1">
      <c r="A540" s="27"/>
      <c r="B540" s="27"/>
      <c r="C540" s="14" t="s">
        <v>175</v>
      </c>
      <c r="D540" s="11">
        <v>5000</v>
      </c>
      <c r="E540" s="11">
        <v>0</v>
      </c>
      <c r="F540" s="11"/>
      <c r="G540" s="11"/>
      <c r="H540" s="11"/>
      <c r="I540" s="11"/>
      <c r="J540" s="11"/>
      <c r="K540" s="11"/>
      <c r="L540" s="11"/>
      <c r="M540" s="28"/>
      <c r="N540" s="28"/>
      <c r="O540" s="9">
        <f t="shared" si="71"/>
        <v>0</v>
      </c>
    </row>
    <row r="541" spans="1:15" ht="17.25" customHeight="1">
      <c r="A541" s="21" t="s">
        <v>312</v>
      </c>
      <c r="B541" s="21"/>
      <c r="C541" s="7" t="s">
        <v>313</v>
      </c>
      <c r="D541" s="10">
        <f>D542+D544</f>
        <v>10000</v>
      </c>
      <c r="E541" s="10">
        <f>E542+E544</f>
        <v>25000</v>
      </c>
      <c r="F541" s="10">
        <f aca="true" t="shared" si="78" ref="F541:N541">F544</f>
        <v>0</v>
      </c>
      <c r="G541" s="10">
        <f t="shared" si="78"/>
        <v>0</v>
      </c>
      <c r="H541" s="10">
        <f>H544</f>
        <v>16000</v>
      </c>
      <c r="I541" s="10">
        <f>I544</f>
        <v>0</v>
      </c>
      <c r="J541" s="10">
        <f>J544</f>
        <v>0</v>
      </c>
      <c r="K541" s="10">
        <f>K544</f>
        <v>16000</v>
      </c>
      <c r="L541" s="10">
        <f t="shared" si="78"/>
        <v>0</v>
      </c>
      <c r="M541" s="23">
        <f t="shared" si="78"/>
        <v>16000</v>
      </c>
      <c r="N541" s="23">
        <f t="shared" si="78"/>
        <v>0</v>
      </c>
      <c r="O541" s="9">
        <f t="shared" si="71"/>
        <v>0.000542378139666032</v>
      </c>
    </row>
    <row r="542" spans="1:15" ht="18" customHeight="1" hidden="1">
      <c r="A542" s="21" t="s">
        <v>314</v>
      </c>
      <c r="B542" s="32"/>
      <c r="C542" s="7" t="s">
        <v>315</v>
      </c>
      <c r="D542" s="10">
        <f>D543</f>
        <v>0</v>
      </c>
      <c r="E542" s="10">
        <f>E543</f>
        <v>0</v>
      </c>
      <c r="F542" s="10"/>
      <c r="G542" s="10"/>
      <c r="H542" s="10"/>
      <c r="I542" s="10"/>
      <c r="J542" s="10"/>
      <c r="K542" s="10"/>
      <c r="L542" s="10"/>
      <c r="M542" s="23"/>
      <c r="N542" s="23"/>
      <c r="O542" s="9">
        <f aca="true" t="shared" si="79" ref="O542:O557">K542/$K$549</f>
        <v>0</v>
      </c>
    </row>
    <row r="543" spans="1:15" ht="14.25" customHeight="1" hidden="1">
      <c r="A543" s="27"/>
      <c r="B543" s="32" t="s">
        <v>88</v>
      </c>
      <c r="C543" s="14" t="s">
        <v>316</v>
      </c>
      <c r="D543" s="11">
        <v>0</v>
      </c>
      <c r="E543" s="11">
        <v>0</v>
      </c>
      <c r="F543" s="11"/>
      <c r="G543" s="11"/>
      <c r="H543" s="11"/>
      <c r="I543" s="11"/>
      <c r="J543" s="11"/>
      <c r="K543" s="11"/>
      <c r="L543" s="11"/>
      <c r="M543" s="28"/>
      <c r="N543" s="28"/>
      <c r="O543" s="9">
        <f t="shared" si="79"/>
        <v>0</v>
      </c>
    </row>
    <row r="544" spans="1:15" ht="15.75" customHeight="1">
      <c r="A544" s="30" t="s">
        <v>317</v>
      </c>
      <c r="B544" s="21"/>
      <c r="C544" s="7" t="s">
        <v>124</v>
      </c>
      <c r="D544" s="10">
        <f>D548</f>
        <v>10000</v>
      </c>
      <c r="E544" s="10">
        <f>E545+E546</f>
        <v>25000</v>
      </c>
      <c r="F544" s="10">
        <f>F545+F546</f>
        <v>0</v>
      </c>
      <c r="G544" s="10">
        <f>G545+G546</f>
        <v>0</v>
      </c>
      <c r="H544" s="10">
        <f aca="true" t="shared" si="80" ref="H544:N544">H546</f>
        <v>16000</v>
      </c>
      <c r="I544" s="10">
        <f t="shared" si="80"/>
        <v>0</v>
      </c>
      <c r="J544" s="10">
        <f t="shared" si="80"/>
        <v>0</v>
      </c>
      <c r="K544" s="10">
        <f t="shared" si="80"/>
        <v>16000</v>
      </c>
      <c r="L544" s="10">
        <f t="shared" si="80"/>
        <v>0</v>
      </c>
      <c r="M544" s="10">
        <f t="shared" si="80"/>
        <v>16000</v>
      </c>
      <c r="N544" s="10">
        <f t="shared" si="80"/>
        <v>0</v>
      </c>
      <c r="O544" s="9">
        <f t="shared" si="79"/>
        <v>0.000542378139666032</v>
      </c>
    </row>
    <row r="545" spans="1:15" ht="26.25" customHeight="1" hidden="1">
      <c r="A545" s="30"/>
      <c r="B545" s="34"/>
      <c r="C545" s="33" t="s">
        <v>97</v>
      </c>
      <c r="D545" s="24"/>
      <c r="E545" s="24">
        <v>10800</v>
      </c>
      <c r="F545" s="24">
        <v>0</v>
      </c>
      <c r="G545" s="24">
        <v>0</v>
      </c>
      <c r="H545" s="24">
        <v>0</v>
      </c>
      <c r="I545" s="24"/>
      <c r="J545" s="24"/>
      <c r="K545" s="24"/>
      <c r="L545" s="24">
        <v>0</v>
      </c>
      <c r="M545" s="25">
        <f>H545</f>
        <v>0</v>
      </c>
      <c r="N545" s="25">
        <v>0</v>
      </c>
      <c r="O545" s="9">
        <f t="shared" si="79"/>
        <v>0</v>
      </c>
    </row>
    <row r="546" spans="1:15" ht="24" customHeight="1">
      <c r="A546" s="30"/>
      <c r="B546" s="34" t="s">
        <v>280</v>
      </c>
      <c r="C546" s="33" t="s">
        <v>318</v>
      </c>
      <c r="D546" s="24"/>
      <c r="E546" s="24">
        <v>14200</v>
      </c>
      <c r="F546" s="24">
        <v>0</v>
      </c>
      <c r="G546" s="24">
        <v>0</v>
      </c>
      <c r="H546" s="24">
        <v>16000</v>
      </c>
      <c r="I546" s="24">
        <v>0</v>
      </c>
      <c r="J546" s="24">
        <v>0</v>
      </c>
      <c r="K546" s="24">
        <v>16000</v>
      </c>
      <c r="L546" s="24">
        <v>0</v>
      </c>
      <c r="M546" s="25">
        <f>K546</f>
        <v>16000</v>
      </c>
      <c r="N546" s="25">
        <v>0</v>
      </c>
      <c r="O546" s="9">
        <f t="shared" si="79"/>
        <v>0.000542378139666032</v>
      </c>
    </row>
    <row r="547" spans="1:15" ht="16.5" customHeight="1" hidden="1">
      <c r="A547" s="30"/>
      <c r="B547" s="21"/>
      <c r="C547" s="7"/>
      <c r="D547" s="10"/>
      <c r="E547" s="10"/>
      <c r="F547" s="10"/>
      <c r="G547" s="10"/>
      <c r="H547" s="10"/>
      <c r="I547" s="10"/>
      <c r="J547" s="10"/>
      <c r="K547" s="10"/>
      <c r="L547" s="10"/>
      <c r="M547" s="23"/>
      <c r="N547" s="23"/>
      <c r="O547" s="9">
        <f t="shared" si="79"/>
        <v>0</v>
      </c>
    </row>
    <row r="548" spans="1:15" ht="3.75" customHeight="1" hidden="1">
      <c r="A548" s="27"/>
      <c r="B548" s="32"/>
      <c r="C548" s="14"/>
      <c r="D548" s="11">
        <v>10000</v>
      </c>
      <c r="E548" s="11"/>
      <c r="F548" s="11"/>
      <c r="G548" s="11"/>
      <c r="H548" s="11"/>
      <c r="I548" s="11"/>
      <c r="J548" s="11"/>
      <c r="K548" s="11"/>
      <c r="L548" s="11"/>
      <c r="M548" s="28"/>
      <c r="N548" s="28"/>
      <c r="O548" s="9">
        <f t="shared" si="79"/>
        <v>0</v>
      </c>
    </row>
    <row r="549" spans="1:15" ht="16.5" customHeight="1">
      <c r="A549" s="27"/>
      <c r="B549" s="32"/>
      <c r="C549" s="3" t="s">
        <v>319</v>
      </c>
      <c r="D549" s="10" t="e">
        <f>D9+D29+D35+D61+D68+D84+D143+D187+D194+D199+D345+D372+D464+D531+D541</f>
        <v>#REF!</v>
      </c>
      <c r="E549" s="10" t="e">
        <f>E9+E29+E35+E61+E68+E84+E143+E187+E194+E199+E345+E372+E464+E531+E541</f>
        <v>#REF!</v>
      </c>
      <c r="F549" s="10" t="e">
        <f>F541+F531+F464+F372+F345+F199+F194+F187+F143+F84+F68+F61+F35+F29+F9</f>
        <v>#REF!</v>
      </c>
      <c r="G549" s="10" t="e">
        <f>G541+G531+G464+G372+G345+G199+G194+G187+G143+G84+G68+G61+G35+G29+G9</f>
        <v>#REF!</v>
      </c>
      <c r="H549" s="10" t="e">
        <f>H541+H531+H464+H372+H345+H199+H194+H187+H143+H137+H84+H68+H61+H35+H29+H9</f>
        <v>#REF!</v>
      </c>
      <c r="I549" s="10" t="e">
        <f>I541+I531+I464+I372+I345+I199+I194+I187+I143+I137+I84+I68+I61+I35+I29+I9</f>
        <v>#REF!</v>
      </c>
      <c r="J549" s="10" t="e">
        <f>J541+J531+J464+J372+J345+J199+J194+J187+J143+J137+J84+J68+J61+J35+J29+J9</f>
        <v>#REF!</v>
      </c>
      <c r="K549" s="10">
        <f>K541+K531+K464+K372+K345+K199+K194+K187+K143+K137+K84+K68+K61+K35+K29+K9+K58</f>
        <v>29499714</v>
      </c>
      <c r="L549" s="10">
        <f>L541+L531+L464+L372+L345+L199+L194+L187+L143+L137+L84+L68+L61+L35+L29+L9+L58</f>
        <v>3047088</v>
      </c>
      <c r="M549" s="10">
        <f>M541+M531+M464+M372+M345+M199+M194+M187+M143+M137+M84+M68+M61+M35+M29+M9+M58</f>
        <v>26219506</v>
      </c>
      <c r="N549" s="10">
        <f>N541+N531+N464+N372+N345+N199+N194+N187+N143+N137+N84+N68+N61+N35+N29+N9+N58</f>
        <v>233120</v>
      </c>
      <c r="O549" s="9">
        <f t="shared" si="79"/>
        <v>1</v>
      </c>
    </row>
    <row r="550" spans="1:15" ht="12.75" customHeight="1">
      <c r="A550" s="43"/>
      <c r="B550" s="548" t="s">
        <v>320</v>
      </c>
      <c r="C550" s="549"/>
      <c r="D550" s="6" t="s">
        <v>321</v>
      </c>
      <c r="E550" s="6" t="s">
        <v>321</v>
      </c>
      <c r="F550" s="6" t="s">
        <v>321</v>
      </c>
      <c r="G550" s="6" t="s">
        <v>321</v>
      </c>
      <c r="H550" s="6"/>
      <c r="I550" s="6"/>
      <c r="J550" s="6"/>
      <c r="K550" s="6"/>
      <c r="L550" s="6"/>
      <c r="M550" s="6"/>
      <c r="N550" s="6"/>
      <c r="O550" s="9"/>
    </row>
    <row r="551" spans="1:15" ht="16.5" customHeight="1">
      <c r="A551" s="43"/>
      <c r="B551" s="548" t="s">
        <v>322</v>
      </c>
      <c r="C551" s="549"/>
      <c r="D551" s="549"/>
      <c r="E551" s="11" t="e">
        <f aca="true" t="shared" si="81" ref="E551:M551">E549-E556</f>
        <v>#REF!</v>
      </c>
      <c r="F551" s="11" t="e">
        <f t="shared" si="81"/>
        <v>#REF!</v>
      </c>
      <c r="G551" s="11" t="e">
        <f t="shared" si="81"/>
        <v>#REF!</v>
      </c>
      <c r="H551" s="11" t="e">
        <f>H549-H556</f>
        <v>#REF!</v>
      </c>
      <c r="I551" s="11" t="e">
        <f>I549-I556</f>
        <v>#REF!</v>
      </c>
      <c r="J551" s="11" t="e">
        <f>J549-J556</f>
        <v>#REF!</v>
      </c>
      <c r="K551" s="11">
        <f>K549-K556</f>
        <v>25065572</v>
      </c>
      <c r="L551" s="11">
        <f t="shared" si="81"/>
        <v>3047088</v>
      </c>
      <c r="M551" s="28">
        <f t="shared" si="81"/>
        <v>21860646</v>
      </c>
      <c r="N551" s="28">
        <f>N549-N556</f>
        <v>157838</v>
      </c>
      <c r="O551" s="9">
        <f t="shared" si="79"/>
        <v>0.8496886444390613</v>
      </c>
    </row>
    <row r="552" spans="1:15" ht="14.25" customHeight="1">
      <c r="A552" s="43"/>
      <c r="B552" s="548" t="s">
        <v>323</v>
      </c>
      <c r="C552" s="549"/>
      <c r="D552" s="549"/>
      <c r="E552" s="11" t="e">
        <f>E13+E15+E37+E38+E74+E76+E86+E87+E106+E107+E147+E149+E150+E151+E152+E153+E201+E202+E217+E218+E226+E227+E306+#REF!+E257+E258+E285+E286+E319+E320+E359+E360+E374+E375+E391+E392+E414+E415+E430+E448+E449+E466+E467+E485+E486+E499+E500+E14+E166+E167+E168+E169+E170+E171+E437+E148</f>
        <v>#REF!</v>
      </c>
      <c r="F552" s="11" t="e">
        <f>F13+F15+F37+F38+F74+F76+F86+F87+F106+F107+F147+F149+F150+F151+F152+F153+F201+F202+F217+F218+F226+F227+F306+#REF!+F257+F258+F285+F286+F319+F320+F359+F360+F374+F375+F391+F392+F414+F415+F430+F448+F449+F466+F467+F485+F486+F499+F500+F14+F166+F167+F168+F169+F170+F171+F437+F148</f>
        <v>#REF!</v>
      </c>
      <c r="G552" s="11" t="e">
        <f>G13+G15+G37+G38+G74+G76+G86+G87+G106+G107+G147+G149+G150+G151+G152+G153+G201+G202+G217+G218+G226+G227+G306+#REF!+G257+G258+G285+G286+G319+G320+G359+G360+G374+G375+G391+G392+G414+G415+G430+G448+G449+G466+G467+G485+G486+G499+G500+G14+G166+G167+G168+G169+G170+G171+G437+G148</f>
        <v>#REF!</v>
      </c>
      <c r="H552" s="11" t="e">
        <f>H13+H14+H15+H37+H38+H74+H75+H76+H86+H87+H106+H107+H147+H148+H149+H150+H151+H152+H153+H166+H167+H168+H169+H170+H171++H201+H202+H217+H218+H226+H227+H257+H258+H306+#REF!+H319+H320+H374+H375+H391+H392+H414+H415+H430+H431+H437+H440+H448+H449+H466+H467+H485+H486+H499+H500</f>
        <v>#REF!</v>
      </c>
      <c r="I552" s="11" t="e">
        <f>I13+I14+I15+I37+I38+I74+I75+I76+I86+I87+I106+I107+I147+I148+I149+I150+I151+I152+I153+I166+I167+I168+I169+I170+I171++I201+I202+I217+I218+I226+I227+I257+I258+I306+#REF!+I319+I320+I374+I375+I391+I392+I414+I415+I430+I431+I437+I440+I448+I449+I466+I467+I485+I486+I499+I500</f>
        <v>#REF!</v>
      </c>
      <c r="J552" s="11" t="e">
        <f>J13+J14+J15+J37+J38+J74+J75+J76+J86+J87+J106+J107+J147+J148+J149+J150+J151+J152+J153+J166+J167+J168+J169+J170+J171++J201+J202+J217+J218+J226+J227+J257+J258+J306+#REF!+J319+J320+J374+J375+J391+J392+J414+J415+J430+J431+J437+J440+J448+J449+J466+J467+J485+J486+J499+J500</f>
        <v>#REF!</v>
      </c>
      <c r="K552" s="11">
        <f>K13+K14+K15+K37+K38+K74+K75+K76+K86+K87+K106+K107+K147+K148+K149+K150+K151+K152+K153+K166+K167+K168+K169+K170+K171++K201+K202+K217+K218+K226+K227+K257+K258+K306+K319+K320+K374+K375+K391+K392+K414+K415+K430+K431+K437+K440+K448+K449+K466+K467+K485+K486+K499+K500+K336+K247</f>
        <v>10532333</v>
      </c>
      <c r="L552" s="11">
        <f>L13+L14+L15+L37+L38+L74+L75+L76+L86+L87+L106+L107+L147+L148+L149+L150+L151+L152+L153+L166+L167+L168+L169+L170+L171++L201+L202+L217+L218+L226+L227+L257+L258+L306+L319+L320+L374+L375+L391+L392+L414+L415+L430+L431+L437+L440+L448+L449+L466+L467+L485+L486+L499+L500+L336+L247</f>
        <v>1830372</v>
      </c>
      <c r="M552" s="11">
        <f>M13+M14+M15+M37+M38+M74+M75+M76+M86+M87+M106+M107+M147+M148+M149+M150+M151+M152+M153+M166+M167+M168+M169+M170+M171++M201+M202+M217+M218+M226+M227+M257+M258+M306+M319+M320+M374+M375+M391+M392+M414+M415+M430+M431+M437+M440+M448+M449+M466+M467+M485+M486+M499+M500+M336+M247</f>
        <v>8701961</v>
      </c>
      <c r="N552" s="11">
        <f>N13+N14+N15+N37+N38+N74+N75+N76+N86+N87+N106+N107+N147+N148+N149+N150+N151+N152+N153+N166+N167+N168+N169+N170+N171++N201+N202+N217+N218+N226+N227+N257+N258+N306+N319+N320+N374+N375+N391+N392+N414+N415+N430+N431+N437+N440+N448+N449+N466+N467+N485+N486+N499+N500+N336+N247</f>
        <v>0</v>
      </c>
      <c r="O552" s="9">
        <f t="shared" si="79"/>
        <v>0.35703169868019735</v>
      </c>
    </row>
    <row r="553" spans="1:15" ht="15" customHeight="1">
      <c r="A553" s="43"/>
      <c r="B553" s="548" t="s">
        <v>324</v>
      </c>
      <c r="C553" s="549"/>
      <c r="D553" s="549"/>
      <c r="E553" s="11">
        <f>E16+E17+E39+E40+E77+E78+E88+E89+E108+E109+E127+E128+E154+E155+E172+E173+E203+E204+E219+E220+E228+E229+E259+E260+E287+E288+E307+E308+E321+E322+E361+E362+E376+E377+E393+E394+E416+E417+E432+E433+E450+E451+E468+E469+E487+E488+E501+E502+E329+E330+E441+E442+E524+E525</f>
        <v>3289857</v>
      </c>
      <c r="F553" s="11">
        <f>F16+F17+F39+F40+F77+F78+F88+F89+F108+F109+F127+F128+F154+F155+F172+F173+F203+F204+F219+F220+F228+F229+F259+F260+F287+F288+F307+F308+F321+F322+F361+F362+F376+F377+F393+F394+F416+F417+F432+F433+F450+F451+F468+F469+F487+F488+F501+F502+F329+F330+F441+F442+F524+F525</f>
        <v>55078</v>
      </c>
      <c r="G553" s="11">
        <f>G16+G17+G39+G40+G77+G78+G88+G89+G108+G109+G127+G128+G154+G155+G172+G173+G203+G204+G219+G220+G228+G229+G259+G260+G287+G288+G307+G308+G321+G322+G361+G362+G376+G377+G393+G394+G416+G417+G432+G433+G450+G451+G468+G469+G487+G488+G501+G502+G329+G330+G441+G442+G524+G525</f>
        <v>51353</v>
      </c>
      <c r="H553" s="11">
        <f>H16+H17+H39+H40+H77+H78+H88+H89+H108+H109+H127+H128+H154+H155+H172+H173+H203+H204+H219+H220+H228+H229+H259+H260+H307+H308+H321+H322+H376+H377+H393+H394+H416+H417+H432+H433+H441+H442+H450+H451+H468+H469+H487+H488+H501+H502+H524+H525</f>
        <v>1942921</v>
      </c>
      <c r="I553" s="11">
        <f>I16+I17+I39+I40+I77+I78+I88+I89+I108+I109+I127+I128+I154+I155+I172+I173+I203+I204+I219+I220+I228+I229+I259+I260+I307+I308+I321+I322+I376+I377+I393+I394+I416+I417+I432+I433+I441+I442+I450+I451+I468+I469+I487+I488+I501+I502+I524+I525</f>
        <v>694</v>
      </c>
      <c r="J553" s="11">
        <f>J16+J17+J39+J40+J77+J78+J88+J89+J108+J109+J127+J128+J154+J155+J172+J173+J203+J204+J219+J220+J228+J229+J259+J260+J307+J308+J321+J322+J376+J377+J393+J394+J416+J417+J432+J433+J441+J442+J450+J451+J468+J469+J487+J488+J501+J502+J524+J525</f>
        <v>0</v>
      </c>
      <c r="K553" s="11">
        <f>K16+K17+K39+K40+K77+K78+K88+K89+K108+K109+K127+K128+K154+K155+K172+K173+K203+K204+K219+K220+K228+K229+K259+K260+K307+K308+K321+K322+K376+K377+K393+K394+K416+K417+K432+K433+K441+K442+K450+K451+K468+K469+K487+K488+K501+K502+K524+K525+K337+K338+K248+K249</f>
        <v>1909684</v>
      </c>
      <c r="L553" s="11">
        <f>L16+L17+L39+L40+L77+L78+L88+L89+L108+L109+L127+L128+L154+L155+L172+L173+L203+L204+L219+L220+L228+L229+L259+L260+L307+L308+L321+L322+L376+L377+L393+L394+L416+L417+L432+L433+L441+L442+L450+L451+L468+L469+L487+L488+L501+L502+L524+L525+L337+L338+L248+L249</f>
        <v>149341</v>
      </c>
      <c r="M553" s="11">
        <f>M16+M17+M39+M40+M77+M78+M88+M89+M108+M109+M127+M128+M154+M155+M172+M173+M203+M204+M219+M220+M228+M229+M259+M260+M307+M308+M321+M322+M376+M377+M393+M394+M416+M417+M432+M433+M441+M442+M450+M451+M468+M469+M487+M488+M501+M502+M524+M525+M337+M338+M248+M249</f>
        <v>1760343</v>
      </c>
      <c r="N553" s="11">
        <f>N16+N17+N39+N40+N77+N78+N88+N89+N108+N109+N127+N128+N154+N155+N172+N173+N203+N204+N219+N220+N228+N229+N259+N260+N307+N308+N321+N322+N376+N377+N393+N394+N416+N417+N432+N433+N441+N442+N450+N451+N468+N469+N487+N488+N501+N502+N524+N525+N337+N338+N248+N249</f>
        <v>0</v>
      </c>
      <c r="O553" s="9">
        <f t="shared" si="79"/>
        <v>0.06473567845437417</v>
      </c>
    </row>
    <row r="554" spans="1:15" ht="24" customHeight="1">
      <c r="A554" s="43"/>
      <c r="B554" s="551" t="s">
        <v>751</v>
      </c>
      <c r="C554" s="552"/>
      <c r="D554" s="552"/>
      <c r="E554" s="11" t="e">
        <f>E122+E242+E278+E299+E314+E326+E334+E523+E533+E425+E389+#REF!+E352+#REF!+E347</f>
        <v>#REF!</v>
      </c>
      <c r="F554" s="11" t="e">
        <f>F122+F242+F278+F299+F314+F326+F349+F523+F533+F333+F425+F389+#REF!+F352+#REF!+F347</f>
        <v>#REF!</v>
      </c>
      <c r="G554" s="11" t="e">
        <f>G122+G242+G278+G299+G314+G326+G349+G523+G533+G333+G425+G389+#REF!+G352+#REF!+G347</f>
        <v>#REF!</v>
      </c>
      <c r="H554" s="11" t="e">
        <f>H213+H224+H242+H278+H314+H334+#REF!+H389+H425+H483+H523+H533+H546+H92+H462+H536</f>
        <v>#REF!</v>
      </c>
      <c r="I554" s="11" t="e">
        <f>I213+I224+I242+I278+I314+I334+#REF!+I389+I425+I483+I523+I533+I546+I92+I462+I536</f>
        <v>#REF!</v>
      </c>
      <c r="J554" s="11" t="e">
        <f>J213+J224+J242+J278+J314+J334+#REF!+J389+J425+J483+J523+J533+J546+J92+J462+J536</f>
        <v>#REF!</v>
      </c>
      <c r="K554" s="11">
        <f>K213+K224+K242+K278+K314+K334+K389+K425+K483+K523+K533+K546+K92+K462+K536+K97+K214+K326+K537+K57</f>
        <v>1171303</v>
      </c>
      <c r="L554" s="11">
        <f>L213+L224+L242+L278+L314+L334+L389+L425+L483+L523+L533+L546+L92+L462+L536+L97+L214+L326+L537+L57</f>
        <v>0</v>
      </c>
      <c r="M554" s="11">
        <f>M213+M224+M242+M278+M314+M334+M389+M425+M483+M523+M533+M546+M92+M462+M536+M97+M214+M326+M537+M57</f>
        <v>1013465</v>
      </c>
      <c r="N554" s="11">
        <f>N213+N224+N242+N278+N314+N334+N389+N425+N483+N523+N533+N546+N92+N462+N536+N97+N214+N326+N537+N57</f>
        <v>157838</v>
      </c>
      <c r="O554" s="9">
        <f t="shared" si="79"/>
        <v>0.03970557138282765</v>
      </c>
    </row>
    <row r="555" spans="1:15" ht="13.5" customHeight="1">
      <c r="A555" s="43"/>
      <c r="B555" s="551" t="s">
        <v>325</v>
      </c>
      <c r="C555" s="552"/>
      <c r="D555" s="552"/>
      <c r="E555" s="11">
        <f aca="true" t="shared" si="82" ref="E555:M555">E187</f>
        <v>750000</v>
      </c>
      <c r="F555" s="11">
        <f t="shared" si="82"/>
        <v>0</v>
      </c>
      <c r="G555" s="11">
        <f t="shared" si="82"/>
        <v>0</v>
      </c>
      <c r="H555" s="11">
        <f t="shared" si="82"/>
        <v>881000</v>
      </c>
      <c r="I555" s="11">
        <f t="shared" si="82"/>
        <v>0</v>
      </c>
      <c r="J555" s="11">
        <f t="shared" si="82"/>
        <v>0</v>
      </c>
      <c r="K555" s="11">
        <f t="shared" si="82"/>
        <v>5700000</v>
      </c>
      <c r="L555" s="11">
        <f t="shared" si="82"/>
        <v>0</v>
      </c>
      <c r="M555" s="28">
        <f t="shared" si="82"/>
        <v>5700000</v>
      </c>
      <c r="N555" s="28">
        <f>N196</f>
        <v>0</v>
      </c>
      <c r="O555" s="9">
        <f t="shared" si="79"/>
        <v>0.1932222122560239</v>
      </c>
    </row>
    <row r="556" spans="1:15" ht="18.75" customHeight="1">
      <c r="A556" s="43"/>
      <c r="B556" s="548" t="s">
        <v>326</v>
      </c>
      <c r="C556" s="549"/>
      <c r="D556" s="549"/>
      <c r="E556" s="11" t="e">
        <f>E52+E54+E55+E124+#REF!+#REF!+E301+E302+E348+E350+E353+E283+E53</f>
        <v>#REF!</v>
      </c>
      <c r="F556" s="11" t="e">
        <f>F52+F54+F55+F124+#REF!+#REF!+F301+F302+F348+F350+F353+F283+F53</f>
        <v>#REF!</v>
      </c>
      <c r="G556" s="11" t="e">
        <f>G52+G54+G55+G124+#REF!+#REF!+G301+G302+G348+G350+G283+G53</f>
        <v>#REF!</v>
      </c>
      <c r="H556" s="11" t="e">
        <f>H52+H54+H55+H124+#REF!+#REF!+H301+H302+H348+H350+H353+H283+H53+H480</f>
        <v>#REF!</v>
      </c>
      <c r="I556" s="11" t="e">
        <f>I52+I54+I55+I124+#REF!+#REF!+I301+I302+I348+I350+I353+I283+I53+I480</f>
        <v>#REF!</v>
      </c>
      <c r="J556" s="11" t="e">
        <f>J52+J54+J55+J124+#REF!+#REF!+J301+J302+J348+J350+J353+J283+J53+J480</f>
        <v>#REF!</v>
      </c>
      <c r="K556" s="11">
        <f>K52+K124+K301+K302+K348+K350+K353+K283+K53+K480+K60+K56</f>
        <v>4434142</v>
      </c>
      <c r="L556" s="11">
        <f>L52+L124+L301+L302+L348+L350+L353+L283+L53+L480+L60+L56</f>
        <v>0</v>
      </c>
      <c r="M556" s="11">
        <f>M52+M124+M301+M302+M348+M350+M353+M283+M53+M480+M60+M56</f>
        <v>4358860</v>
      </c>
      <c r="N556" s="11">
        <f>N52+N124+N301+N302+N348+N350+N353+N283+N53+N480+N60+N56</f>
        <v>75282</v>
      </c>
      <c r="O556" s="9">
        <f t="shared" si="79"/>
        <v>0.15031135556093866</v>
      </c>
    </row>
    <row r="557" spans="1:15" ht="52.5" customHeight="1">
      <c r="A557" s="45"/>
      <c r="B557" s="551" t="s">
        <v>802</v>
      </c>
      <c r="C557" s="552"/>
      <c r="D557" s="552"/>
      <c r="E557" s="11" t="e">
        <f>E52+E54+E55+E124+#REF!+#REF!+E301+E302+E348+E350+E353+E283+E53</f>
        <v>#REF!</v>
      </c>
      <c r="F557" s="11" t="e">
        <f>F52+F54+F55+F124+#REF!+#REF!+F301+F302+F348+F350+F353+F283+F53</f>
        <v>#REF!</v>
      </c>
      <c r="G557" s="11" t="e">
        <f>G52+G54+G55+G124+#REF!+#REF!+G301+G302+G348+G350+G353+G283+G53</f>
        <v>#REF!</v>
      </c>
      <c r="H557" s="11" t="e">
        <f aca="true" t="shared" si="83" ref="H557:N557">H556</f>
        <v>#REF!</v>
      </c>
      <c r="I557" s="11" t="e">
        <f t="shared" si="83"/>
        <v>#REF!</v>
      </c>
      <c r="J557" s="11" t="e">
        <f t="shared" si="83"/>
        <v>#REF!</v>
      </c>
      <c r="K557" s="11">
        <f t="shared" si="83"/>
        <v>4434142</v>
      </c>
      <c r="L557" s="11">
        <f t="shared" si="83"/>
        <v>0</v>
      </c>
      <c r="M557" s="11">
        <f t="shared" si="83"/>
        <v>4358860</v>
      </c>
      <c r="N557" s="28">
        <f t="shared" si="83"/>
        <v>75282</v>
      </c>
      <c r="O557" s="9">
        <f t="shared" si="79"/>
        <v>0.15031135556093866</v>
      </c>
    </row>
    <row r="558" spans="1:15" ht="21" customHeight="1">
      <c r="A558" s="518" t="s">
        <v>27</v>
      </c>
      <c r="B558" s="518"/>
      <c r="C558" s="518"/>
      <c r="D558" s="46"/>
      <c r="E558" s="46"/>
      <c r="F558" s="46"/>
      <c r="G558" s="46"/>
      <c r="H558" s="46"/>
      <c r="I558" s="46" t="s">
        <v>658</v>
      </c>
      <c r="J558" s="46"/>
      <c r="K558" t="s">
        <v>803</v>
      </c>
      <c r="L558" s="46"/>
      <c r="M558" s="46"/>
      <c r="N558" s="381"/>
      <c r="O558" s="46"/>
    </row>
    <row r="559" spans="1:9" ht="12.75" customHeight="1" hidden="1">
      <c r="A559" s="519"/>
      <c r="B559" s="519"/>
      <c r="C559" s="519"/>
      <c r="I559" t="s">
        <v>461</v>
      </c>
    </row>
    <row r="560" spans="5:11" ht="12.75">
      <c r="E560" s="47"/>
      <c r="F560" s="47"/>
      <c r="G560" s="47"/>
      <c r="H560" s="47"/>
      <c r="I560" s="47"/>
      <c r="J560" s="47"/>
      <c r="K560" s="47"/>
    </row>
  </sheetData>
  <mergeCells count="36">
    <mergeCell ref="K4:K7"/>
    <mergeCell ref="B550:C550"/>
    <mergeCell ref="C4:C7"/>
    <mergeCell ref="B551:D551"/>
    <mergeCell ref="B556:D556"/>
    <mergeCell ref="B9:B10"/>
    <mergeCell ref="B29:B30"/>
    <mergeCell ref="B557:D557"/>
    <mergeCell ref="B552:D552"/>
    <mergeCell ref="B553:D553"/>
    <mergeCell ref="B555:D555"/>
    <mergeCell ref="B554:D554"/>
    <mergeCell ref="A359:A363"/>
    <mergeCell ref="A391:A394"/>
    <mergeCell ref="A226:A241"/>
    <mergeCell ref="A306:A309"/>
    <mergeCell ref="A37:A41"/>
    <mergeCell ref="O2:V2"/>
    <mergeCell ref="B2:N2"/>
    <mergeCell ref="C3:N3"/>
    <mergeCell ref="G5:G7"/>
    <mergeCell ref="E5:E7"/>
    <mergeCell ref="D5:D7"/>
    <mergeCell ref="F5:F7"/>
    <mergeCell ref="I5:I7"/>
    <mergeCell ref="L4:N6"/>
    <mergeCell ref="O4:O7"/>
    <mergeCell ref="M1:O1"/>
    <mergeCell ref="A558:C559"/>
    <mergeCell ref="B4:B7"/>
    <mergeCell ref="A4:A7"/>
    <mergeCell ref="J5:J7"/>
    <mergeCell ref="I4:J4"/>
    <mergeCell ref="H4:H7"/>
    <mergeCell ref="A13:A24"/>
    <mergeCell ref="A414:A418"/>
  </mergeCells>
  <printOptions/>
  <pageMargins left="0.3937007874015748" right="0.3937007874015748" top="0.1968503937007874" bottom="0.5905511811023623" header="0.5118110236220472" footer="0.5118110236220472"/>
  <pageSetup horizontalDpi="600" verticalDpi="600" orientation="portrait" paperSize="9" r:id="rId1"/>
  <headerFooter alignWithMargins="0">
    <oddFooter>&amp;CStrona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150"/>
  <sheetViews>
    <sheetView workbookViewId="0" topLeftCell="A1">
      <selection activeCell="A5" sqref="A5:G5"/>
    </sheetView>
  </sheetViews>
  <sheetFormatPr defaultColWidth="9.00390625" defaultRowHeight="12.75"/>
  <cols>
    <col min="1" max="1" width="6.375" style="0" customWidth="1"/>
    <col min="2" max="2" width="10.00390625" style="0" customWidth="1"/>
    <col min="3" max="3" width="5.875" style="0" customWidth="1"/>
    <col min="4" max="4" width="27.875" style="0" customWidth="1"/>
    <col min="5" max="5" width="16.625" style="0" customWidth="1"/>
    <col min="6" max="6" width="10.75390625" style="0" customWidth="1"/>
    <col min="7" max="7" width="14.75390625" style="0" customWidth="1"/>
  </cols>
  <sheetData>
    <row r="1" spans="5:7" ht="40.5" customHeight="1">
      <c r="E1" s="527" t="s">
        <v>859</v>
      </c>
      <c r="F1" s="527"/>
      <c r="G1" s="527"/>
    </row>
    <row r="2" ht="3" customHeight="1" hidden="1"/>
    <row r="3" ht="12.75" hidden="1"/>
    <row r="4" ht="12.75" hidden="1"/>
    <row r="5" spans="1:7" ht="31.5" customHeight="1">
      <c r="A5" s="572" t="s">
        <v>712</v>
      </c>
      <c r="B5" s="572"/>
      <c r="C5" s="572"/>
      <c r="D5" s="572"/>
      <c r="E5" s="572"/>
      <c r="F5" s="572"/>
      <c r="G5" s="572"/>
    </row>
    <row r="6" ht="13.5" thickBot="1"/>
    <row r="7" spans="1:7" ht="13.5" thickBot="1">
      <c r="A7" s="567" t="s">
        <v>327</v>
      </c>
      <c r="B7" s="568"/>
      <c r="C7" s="569"/>
      <c r="D7" s="563" t="s">
        <v>328</v>
      </c>
      <c r="E7" s="570" t="s">
        <v>329</v>
      </c>
      <c r="F7" s="565" t="s">
        <v>330</v>
      </c>
      <c r="G7" s="561" t="s">
        <v>331</v>
      </c>
    </row>
    <row r="8" spans="1:7" ht="90.75" customHeight="1">
      <c r="A8" s="17" t="s">
        <v>332</v>
      </c>
      <c r="B8" s="17" t="s">
        <v>333</v>
      </c>
      <c r="C8" s="48" t="s">
        <v>29</v>
      </c>
      <c r="D8" s="564"/>
      <c r="E8" s="571"/>
      <c r="F8" s="566"/>
      <c r="G8" s="562"/>
    </row>
    <row r="9" spans="1:7" ht="13.5" thickBot="1">
      <c r="A9" s="49">
        <v>1</v>
      </c>
      <c r="B9" s="50">
        <v>2</v>
      </c>
      <c r="C9" s="50">
        <v>3</v>
      </c>
      <c r="D9" s="51">
        <v>4</v>
      </c>
      <c r="E9" s="126">
        <v>5</v>
      </c>
      <c r="F9" s="126">
        <v>6</v>
      </c>
      <c r="G9" s="126">
        <v>7</v>
      </c>
    </row>
    <row r="10" spans="1:8" ht="18" customHeight="1">
      <c r="A10" s="4" t="s">
        <v>334</v>
      </c>
      <c r="B10" s="52"/>
      <c r="C10" s="52"/>
      <c r="D10" s="5" t="s">
        <v>335</v>
      </c>
      <c r="E10" s="61">
        <v>0</v>
      </c>
      <c r="F10" s="61">
        <v>0</v>
      </c>
      <c r="G10" s="61">
        <f>G11+G12+G13+G14</f>
        <v>202000</v>
      </c>
      <c r="H10" t="s">
        <v>711</v>
      </c>
    </row>
    <row r="11" spans="1:7" ht="12.75">
      <c r="A11" s="27" t="s">
        <v>40</v>
      </c>
      <c r="B11" s="27" t="s">
        <v>42</v>
      </c>
      <c r="C11" s="27" t="s">
        <v>336</v>
      </c>
      <c r="D11" s="6" t="s">
        <v>43</v>
      </c>
      <c r="E11" s="28" t="s">
        <v>711</v>
      </c>
      <c r="F11" s="28">
        <v>0</v>
      </c>
      <c r="G11" s="28">
        <v>15000</v>
      </c>
    </row>
    <row r="12" spans="1:7" ht="25.5">
      <c r="A12" s="6">
        <v>700</v>
      </c>
      <c r="B12" s="6">
        <v>70005</v>
      </c>
      <c r="C12" s="6">
        <v>235</v>
      </c>
      <c r="D12" s="53" t="s">
        <v>96</v>
      </c>
      <c r="E12" s="28">
        <v>0</v>
      </c>
      <c r="F12" s="28">
        <v>0</v>
      </c>
      <c r="G12" s="28">
        <v>180000</v>
      </c>
    </row>
    <row r="13" spans="1:7" ht="12.75">
      <c r="A13" s="6">
        <v>754</v>
      </c>
      <c r="B13" s="6">
        <v>75411</v>
      </c>
      <c r="C13" s="6">
        <v>235</v>
      </c>
      <c r="D13" s="6" t="s">
        <v>766</v>
      </c>
      <c r="E13" s="28">
        <v>0</v>
      </c>
      <c r="F13" s="28">
        <v>0</v>
      </c>
      <c r="G13" s="28">
        <v>7000</v>
      </c>
    </row>
    <row r="14" spans="1:7" ht="12.75" hidden="1">
      <c r="A14" s="54">
        <v>851</v>
      </c>
      <c r="B14" s="54">
        <v>85132</v>
      </c>
      <c r="C14" s="54">
        <v>235</v>
      </c>
      <c r="D14" s="54" t="s">
        <v>337</v>
      </c>
      <c r="E14" s="55">
        <v>0</v>
      </c>
      <c r="F14" s="55">
        <v>0</v>
      </c>
      <c r="G14" s="55">
        <v>0</v>
      </c>
    </row>
    <row r="15" spans="1:7" ht="12.75">
      <c r="A15" s="56" t="s">
        <v>338</v>
      </c>
      <c r="B15" s="556" t="s">
        <v>339</v>
      </c>
      <c r="C15" s="556"/>
      <c r="D15" s="556"/>
      <c r="E15" s="556"/>
      <c r="F15" s="556"/>
      <c r="G15" s="57"/>
    </row>
    <row r="16" spans="1:7" ht="38.25">
      <c r="A16" s="58" t="s">
        <v>40</v>
      </c>
      <c r="B16" s="58" t="s">
        <v>72</v>
      </c>
      <c r="C16" s="58" t="s">
        <v>340</v>
      </c>
      <c r="D16" s="59" t="s">
        <v>341</v>
      </c>
      <c r="E16" s="60">
        <v>45000</v>
      </c>
      <c r="F16" s="60">
        <f>F17</f>
        <v>45000</v>
      </c>
      <c r="G16" s="61">
        <v>0</v>
      </c>
    </row>
    <row r="17" spans="1:7" ht="12.75">
      <c r="A17" s="62"/>
      <c r="B17" s="62"/>
      <c r="C17" s="62" t="s">
        <v>64</v>
      </c>
      <c r="D17" s="63" t="s">
        <v>144</v>
      </c>
      <c r="E17" s="45">
        <v>0</v>
      </c>
      <c r="F17" s="45">
        <v>45000</v>
      </c>
      <c r="G17" s="64">
        <v>0</v>
      </c>
    </row>
    <row r="18" spans="1:7" ht="12.75">
      <c r="A18" s="65" t="s">
        <v>40</v>
      </c>
      <c r="B18" s="65" t="s">
        <v>42</v>
      </c>
      <c r="C18" s="21" t="s">
        <v>340</v>
      </c>
      <c r="D18" s="10" t="s">
        <v>342</v>
      </c>
      <c r="E18" s="10">
        <v>114000</v>
      </c>
      <c r="F18" s="10">
        <f>F19+F20+F21+F22+F24+F23+F25+F26+F27+F28+F29+F30</f>
        <v>114000</v>
      </c>
      <c r="G18" s="23">
        <v>0</v>
      </c>
    </row>
    <row r="19" spans="1:7" ht="25.5">
      <c r="A19" s="66"/>
      <c r="B19" s="67"/>
      <c r="C19" s="68" t="s">
        <v>48</v>
      </c>
      <c r="D19" s="14" t="s">
        <v>49</v>
      </c>
      <c r="E19" s="11">
        <v>0</v>
      </c>
      <c r="F19" s="11">
        <v>39000</v>
      </c>
      <c r="G19" s="28">
        <v>0</v>
      </c>
    </row>
    <row r="20" spans="1:7" ht="25.5">
      <c r="A20" s="69"/>
      <c r="B20" s="70"/>
      <c r="C20" s="68" t="s">
        <v>50</v>
      </c>
      <c r="D20" s="14" t="s">
        <v>51</v>
      </c>
      <c r="E20" s="11">
        <v>0</v>
      </c>
      <c r="F20" s="11">
        <v>44000</v>
      </c>
      <c r="G20" s="28">
        <v>0</v>
      </c>
    </row>
    <row r="21" spans="1:7" ht="12.75">
      <c r="A21" s="69"/>
      <c r="B21" s="70"/>
      <c r="C21" s="68" t="s">
        <v>52</v>
      </c>
      <c r="D21" s="11" t="s">
        <v>343</v>
      </c>
      <c r="E21" s="11">
        <v>0</v>
      </c>
      <c r="F21" s="11">
        <v>0</v>
      </c>
      <c r="G21" s="28">
        <v>0</v>
      </c>
    </row>
    <row r="22" spans="1:7" ht="12.75">
      <c r="A22" s="69"/>
      <c r="B22" s="70"/>
      <c r="C22" s="71" t="s">
        <v>82</v>
      </c>
      <c r="D22" s="14" t="s">
        <v>344</v>
      </c>
      <c r="E22" s="11">
        <v>0</v>
      </c>
      <c r="F22" s="11">
        <v>15000</v>
      </c>
      <c r="G22" s="28">
        <v>0</v>
      </c>
    </row>
    <row r="23" spans="1:7" ht="12.75">
      <c r="A23" s="69"/>
      <c r="B23" s="70"/>
      <c r="C23" s="71" t="s">
        <v>56</v>
      </c>
      <c r="D23" s="14" t="s">
        <v>57</v>
      </c>
      <c r="E23" s="11">
        <v>0</v>
      </c>
      <c r="F23" s="11">
        <v>2000</v>
      </c>
      <c r="G23" s="28">
        <v>0</v>
      </c>
    </row>
    <row r="24" spans="1:7" ht="12.75">
      <c r="A24" s="69"/>
      <c r="B24" s="70"/>
      <c r="C24" s="44">
        <v>4210</v>
      </c>
      <c r="D24" s="32" t="s">
        <v>59</v>
      </c>
      <c r="E24" s="11">
        <v>0</v>
      </c>
      <c r="F24" s="11">
        <v>7000</v>
      </c>
      <c r="G24" s="28">
        <v>0</v>
      </c>
    </row>
    <row r="25" spans="1:7" ht="12.75">
      <c r="A25" s="69"/>
      <c r="B25" s="70"/>
      <c r="C25" s="44">
        <v>4260</v>
      </c>
      <c r="D25" s="32" t="s">
        <v>142</v>
      </c>
      <c r="E25" s="11">
        <v>0</v>
      </c>
      <c r="F25" s="11">
        <v>1500</v>
      </c>
      <c r="G25" s="28">
        <v>0</v>
      </c>
    </row>
    <row r="26" spans="1:7" ht="12.75">
      <c r="A26" s="69"/>
      <c r="B26" s="70"/>
      <c r="C26" s="44">
        <v>4270</v>
      </c>
      <c r="D26" s="32" t="s">
        <v>143</v>
      </c>
      <c r="E26" s="11">
        <v>0</v>
      </c>
      <c r="F26" s="11">
        <v>500</v>
      </c>
      <c r="G26" s="28">
        <v>0</v>
      </c>
    </row>
    <row r="27" spans="1:7" ht="12.75">
      <c r="A27" s="69"/>
      <c r="B27" s="70"/>
      <c r="C27" s="44">
        <v>4300</v>
      </c>
      <c r="D27" s="32" t="s">
        <v>144</v>
      </c>
      <c r="E27" s="11">
        <v>0</v>
      </c>
      <c r="F27" s="11">
        <v>4500</v>
      </c>
      <c r="G27" s="28">
        <v>0</v>
      </c>
    </row>
    <row r="28" spans="1:7" ht="12.75">
      <c r="A28" s="69"/>
      <c r="B28" s="70"/>
      <c r="C28" s="44">
        <v>4410</v>
      </c>
      <c r="D28" s="32" t="s">
        <v>67</v>
      </c>
      <c r="E28" s="11">
        <v>0</v>
      </c>
      <c r="F28" s="11">
        <v>500</v>
      </c>
      <c r="G28" s="28">
        <v>0</v>
      </c>
    </row>
    <row r="29" spans="1:7" ht="12.75">
      <c r="A29" s="69"/>
      <c r="B29" s="70"/>
      <c r="C29" s="44">
        <v>4430</v>
      </c>
      <c r="D29" s="32" t="s">
        <v>69</v>
      </c>
      <c r="E29" s="11">
        <v>0</v>
      </c>
      <c r="F29" s="11">
        <v>0</v>
      </c>
      <c r="G29" s="28">
        <v>0</v>
      </c>
    </row>
    <row r="30" spans="1:7" ht="12.75">
      <c r="A30" s="72"/>
      <c r="B30" s="62"/>
      <c r="C30" s="44">
        <v>4440</v>
      </c>
      <c r="D30" s="32" t="s">
        <v>71</v>
      </c>
      <c r="E30" s="11">
        <v>0</v>
      </c>
      <c r="F30" s="11">
        <v>0</v>
      </c>
      <c r="G30" s="28">
        <v>0</v>
      </c>
    </row>
    <row r="31" spans="1:7" ht="15.75" customHeight="1" hidden="1">
      <c r="A31" s="58" t="s">
        <v>74</v>
      </c>
      <c r="B31" s="58" t="s">
        <v>76</v>
      </c>
      <c r="C31" s="21" t="s">
        <v>340</v>
      </c>
      <c r="D31" s="10" t="s">
        <v>77</v>
      </c>
      <c r="E31" s="10">
        <v>0</v>
      </c>
      <c r="F31" s="10">
        <f>F32</f>
        <v>0</v>
      </c>
      <c r="G31" s="23">
        <v>0</v>
      </c>
    </row>
    <row r="32" spans="1:7" ht="15" customHeight="1" hidden="1">
      <c r="A32" s="32"/>
      <c r="B32" s="32"/>
      <c r="C32" s="32"/>
      <c r="D32" s="11" t="s">
        <v>175</v>
      </c>
      <c r="E32" s="11"/>
      <c r="F32" s="11">
        <v>0</v>
      </c>
      <c r="G32" s="28">
        <v>0</v>
      </c>
    </row>
    <row r="33" spans="1:7" ht="25.5">
      <c r="A33" s="21" t="s">
        <v>93</v>
      </c>
      <c r="B33" s="21" t="s">
        <v>95</v>
      </c>
      <c r="C33" s="21" t="s">
        <v>340</v>
      </c>
      <c r="D33" s="7" t="s">
        <v>96</v>
      </c>
      <c r="E33" s="10">
        <v>22000</v>
      </c>
      <c r="F33" s="10">
        <f>F34+F35+F36+F37+F38</f>
        <v>22000</v>
      </c>
      <c r="G33" s="10">
        <v>0</v>
      </c>
    </row>
    <row r="34" spans="1:7" ht="12.75">
      <c r="A34" s="34"/>
      <c r="B34" s="34"/>
      <c r="C34" s="34" t="s">
        <v>60</v>
      </c>
      <c r="D34" s="33" t="s">
        <v>142</v>
      </c>
      <c r="E34" s="24">
        <v>0</v>
      </c>
      <c r="F34" s="24">
        <v>2900</v>
      </c>
      <c r="G34" s="24">
        <v>0</v>
      </c>
    </row>
    <row r="35" spans="1:7" ht="12.75">
      <c r="A35" s="21"/>
      <c r="B35" s="21"/>
      <c r="C35" s="34" t="s">
        <v>64</v>
      </c>
      <c r="D35" s="33" t="s">
        <v>144</v>
      </c>
      <c r="E35" s="24">
        <v>0</v>
      </c>
      <c r="F35" s="24">
        <v>10780</v>
      </c>
      <c r="G35" s="25">
        <v>0</v>
      </c>
    </row>
    <row r="36" spans="1:7" ht="12.75">
      <c r="A36" s="21"/>
      <c r="B36" s="21"/>
      <c r="C36" s="34" t="s">
        <v>86</v>
      </c>
      <c r="D36" s="33" t="s">
        <v>87</v>
      </c>
      <c r="E36" s="24">
        <v>0</v>
      </c>
      <c r="F36" s="24">
        <v>1320</v>
      </c>
      <c r="G36" s="25">
        <v>0</v>
      </c>
    </row>
    <row r="37" spans="1:7" ht="12.75">
      <c r="A37" s="21"/>
      <c r="B37" s="21"/>
      <c r="C37" s="34" t="s">
        <v>761</v>
      </c>
      <c r="D37" s="33" t="s">
        <v>479</v>
      </c>
      <c r="E37" s="24">
        <v>0</v>
      </c>
      <c r="F37" s="24">
        <v>213</v>
      </c>
      <c r="G37" s="25">
        <v>0</v>
      </c>
    </row>
    <row r="38" spans="1:7" ht="12.75">
      <c r="A38" s="21"/>
      <c r="B38" s="21"/>
      <c r="C38" s="34" t="s">
        <v>286</v>
      </c>
      <c r="D38" s="33" t="s">
        <v>764</v>
      </c>
      <c r="E38" s="24">
        <v>0</v>
      </c>
      <c r="F38" s="24">
        <v>6787</v>
      </c>
      <c r="G38" s="25">
        <v>0</v>
      </c>
    </row>
    <row r="39" spans="1:7" ht="38.25">
      <c r="A39" s="21" t="s">
        <v>98</v>
      </c>
      <c r="B39" s="21" t="s">
        <v>100</v>
      </c>
      <c r="C39" s="21" t="s">
        <v>340</v>
      </c>
      <c r="D39" s="7" t="s">
        <v>101</v>
      </c>
      <c r="E39" s="10">
        <v>52000</v>
      </c>
      <c r="F39" s="10">
        <f>F40</f>
        <v>52000</v>
      </c>
      <c r="G39" s="23">
        <v>0</v>
      </c>
    </row>
    <row r="40" spans="1:7" ht="12.75">
      <c r="A40" s="21"/>
      <c r="B40" s="21"/>
      <c r="C40" s="34" t="s">
        <v>64</v>
      </c>
      <c r="D40" s="33" t="s">
        <v>144</v>
      </c>
      <c r="E40" s="24">
        <v>0</v>
      </c>
      <c r="F40" s="24">
        <v>52000</v>
      </c>
      <c r="G40" s="23">
        <v>0</v>
      </c>
    </row>
    <row r="41" spans="1:7" ht="25.5">
      <c r="A41" s="21" t="s">
        <v>98</v>
      </c>
      <c r="B41" s="21" t="s">
        <v>102</v>
      </c>
      <c r="C41" s="21" t="s">
        <v>340</v>
      </c>
      <c r="D41" s="7" t="s">
        <v>103</v>
      </c>
      <c r="E41" s="10">
        <v>4000</v>
      </c>
      <c r="F41" s="10">
        <f>F42</f>
        <v>4000</v>
      </c>
      <c r="G41" s="23">
        <v>0</v>
      </c>
    </row>
    <row r="42" spans="1:7" ht="12.75">
      <c r="A42" s="34"/>
      <c r="B42" s="34"/>
      <c r="C42" s="34" t="s">
        <v>64</v>
      </c>
      <c r="D42" s="33" t="s">
        <v>144</v>
      </c>
      <c r="E42" s="24">
        <v>0</v>
      </c>
      <c r="F42" s="24">
        <v>4000</v>
      </c>
      <c r="G42" s="25">
        <v>0</v>
      </c>
    </row>
    <row r="43" spans="1:7" ht="12.75">
      <c r="A43" s="21" t="s">
        <v>98</v>
      </c>
      <c r="B43" s="21" t="s">
        <v>104</v>
      </c>
      <c r="C43" s="21" t="s">
        <v>340</v>
      </c>
      <c r="D43" s="10" t="s">
        <v>105</v>
      </c>
      <c r="E43" s="10">
        <v>81866</v>
      </c>
      <c r="F43" s="10">
        <f>F44+F46+F47+F49+F48+F50+F51+F52+F45</f>
        <v>81866</v>
      </c>
      <c r="G43" s="23">
        <v>0</v>
      </c>
    </row>
    <row r="44" spans="1:7" ht="25.5">
      <c r="A44" s="32"/>
      <c r="B44" s="21"/>
      <c r="C44" s="34" t="s">
        <v>48</v>
      </c>
      <c r="D44" s="33" t="s">
        <v>49</v>
      </c>
      <c r="E44" s="24">
        <v>0</v>
      </c>
      <c r="F44" s="24">
        <v>34560</v>
      </c>
      <c r="G44" s="25">
        <v>0</v>
      </c>
    </row>
    <row r="45" spans="1:7" ht="25.5">
      <c r="A45" s="32"/>
      <c r="B45" s="21"/>
      <c r="C45" s="34" t="s">
        <v>50</v>
      </c>
      <c r="D45" s="14" t="s">
        <v>51</v>
      </c>
      <c r="E45" s="24">
        <v>0</v>
      </c>
      <c r="F45" s="24">
        <v>22800</v>
      </c>
      <c r="G45" s="25"/>
    </row>
    <row r="46" spans="1:7" ht="12.75">
      <c r="A46" s="66"/>
      <c r="B46" s="65"/>
      <c r="C46" s="73" t="s">
        <v>52</v>
      </c>
      <c r="D46" s="24" t="s">
        <v>343</v>
      </c>
      <c r="E46" s="24">
        <v>0</v>
      </c>
      <c r="F46" s="24">
        <v>4508</v>
      </c>
      <c r="G46" s="25">
        <v>0</v>
      </c>
    </row>
    <row r="47" spans="1:7" ht="12.75">
      <c r="A47" s="69"/>
      <c r="B47" s="74"/>
      <c r="C47" s="75" t="s">
        <v>82</v>
      </c>
      <c r="D47" s="33" t="s">
        <v>122</v>
      </c>
      <c r="E47" s="24">
        <v>0</v>
      </c>
      <c r="F47" s="24">
        <v>11576</v>
      </c>
      <c r="G47" s="25">
        <v>0</v>
      </c>
    </row>
    <row r="48" spans="1:7" ht="13.5" customHeight="1">
      <c r="A48" s="69"/>
      <c r="B48" s="74"/>
      <c r="C48" s="75" t="s">
        <v>56</v>
      </c>
      <c r="D48" s="33" t="s">
        <v>57</v>
      </c>
      <c r="E48" s="24">
        <v>0</v>
      </c>
      <c r="F48" s="24">
        <v>1708</v>
      </c>
      <c r="G48" s="25">
        <v>0</v>
      </c>
    </row>
    <row r="49" spans="1:7" ht="15" customHeight="1">
      <c r="A49" s="69"/>
      <c r="B49" s="74"/>
      <c r="C49" s="73" t="s">
        <v>58</v>
      </c>
      <c r="D49" s="24" t="s">
        <v>59</v>
      </c>
      <c r="E49" s="24">
        <v>0</v>
      </c>
      <c r="F49" s="24">
        <v>300</v>
      </c>
      <c r="G49" s="25">
        <v>0</v>
      </c>
    </row>
    <row r="50" spans="1:7" ht="15" customHeight="1">
      <c r="A50" s="69"/>
      <c r="B50" s="74"/>
      <c r="C50" s="73" t="s">
        <v>64</v>
      </c>
      <c r="D50" s="24" t="s">
        <v>144</v>
      </c>
      <c r="E50" s="24">
        <v>0</v>
      </c>
      <c r="F50" s="24">
        <v>3097</v>
      </c>
      <c r="G50" s="25">
        <v>0</v>
      </c>
    </row>
    <row r="51" spans="1:7" ht="15" customHeight="1">
      <c r="A51" s="69"/>
      <c r="B51" s="74"/>
      <c r="C51" s="73" t="s">
        <v>66</v>
      </c>
      <c r="D51" s="24" t="s">
        <v>67</v>
      </c>
      <c r="E51" s="24">
        <v>0</v>
      </c>
      <c r="F51" s="24">
        <v>2000</v>
      </c>
      <c r="G51" s="25">
        <v>0</v>
      </c>
    </row>
    <row r="52" spans="1:7" ht="15" customHeight="1">
      <c r="A52" s="72"/>
      <c r="B52" s="58"/>
      <c r="C52" s="73" t="s">
        <v>70</v>
      </c>
      <c r="D52" s="24" t="s">
        <v>71</v>
      </c>
      <c r="E52" s="24">
        <v>0</v>
      </c>
      <c r="F52" s="24">
        <v>1317</v>
      </c>
      <c r="G52" s="25">
        <v>0</v>
      </c>
    </row>
    <row r="53" spans="1:7" ht="12.75">
      <c r="A53" s="74" t="s">
        <v>107</v>
      </c>
      <c r="B53" s="74" t="s">
        <v>109</v>
      </c>
      <c r="C53" s="21" t="s">
        <v>340</v>
      </c>
      <c r="D53" s="10" t="s">
        <v>110</v>
      </c>
      <c r="E53" s="10">
        <v>89799</v>
      </c>
      <c r="F53" s="10">
        <f>F55+F56+F57+F59+F58+F60+F61+F62+F54</f>
        <v>89799</v>
      </c>
      <c r="G53" s="23">
        <v>0</v>
      </c>
    </row>
    <row r="54" spans="1:7" ht="12.75">
      <c r="A54" s="65"/>
      <c r="B54" s="65"/>
      <c r="C54" s="73" t="s">
        <v>112</v>
      </c>
      <c r="D54" s="24" t="s">
        <v>113</v>
      </c>
      <c r="E54" s="24">
        <v>0</v>
      </c>
      <c r="F54" s="24">
        <v>17600</v>
      </c>
      <c r="G54" s="25">
        <v>0</v>
      </c>
    </row>
    <row r="55" spans="1:7" ht="25.5">
      <c r="A55" s="70"/>
      <c r="B55" s="74"/>
      <c r="C55" s="73" t="s">
        <v>48</v>
      </c>
      <c r="D55" s="33" t="s">
        <v>49</v>
      </c>
      <c r="E55" s="24">
        <v>0</v>
      </c>
      <c r="F55" s="24">
        <v>51600</v>
      </c>
      <c r="G55" s="25">
        <v>0</v>
      </c>
    </row>
    <row r="56" spans="1:7" ht="12.75">
      <c r="A56" s="70"/>
      <c r="B56" s="74"/>
      <c r="C56" s="73" t="s">
        <v>52</v>
      </c>
      <c r="D56" s="24" t="s">
        <v>343</v>
      </c>
      <c r="E56" s="24">
        <v>0</v>
      </c>
      <c r="F56" s="24">
        <v>3825</v>
      </c>
      <c r="G56" s="25">
        <v>0</v>
      </c>
    </row>
    <row r="57" spans="1:7" ht="12.75">
      <c r="A57" s="70"/>
      <c r="B57" s="74"/>
      <c r="C57" s="75" t="s">
        <v>82</v>
      </c>
      <c r="D57" s="33" t="s">
        <v>122</v>
      </c>
      <c r="E57" s="24">
        <v>0</v>
      </c>
      <c r="F57" s="24">
        <v>9550</v>
      </c>
      <c r="G57" s="25">
        <v>0</v>
      </c>
    </row>
    <row r="58" spans="1:7" ht="12.75">
      <c r="A58" s="70"/>
      <c r="B58" s="74"/>
      <c r="C58" s="75" t="s">
        <v>56</v>
      </c>
      <c r="D58" s="33" t="s">
        <v>57</v>
      </c>
      <c r="E58" s="24">
        <v>0</v>
      </c>
      <c r="F58" s="24">
        <v>1358</v>
      </c>
      <c r="G58" s="25">
        <v>0</v>
      </c>
    </row>
    <row r="59" spans="1:7" ht="12.75">
      <c r="A59" s="70"/>
      <c r="B59" s="74"/>
      <c r="C59" s="73" t="s">
        <v>58</v>
      </c>
      <c r="D59" s="24" t="s">
        <v>59</v>
      </c>
      <c r="E59" s="24">
        <v>0</v>
      </c>
      <c r="F59" s="24">
        <v>2270</v>
      </c>
      <c r="G59" s="25">
        <v>0</v>
      </c>
    </row>
    <row r="60" spans="1:7" ht="12.75">
      <c r="A60" s="70"/>
      <c r="B60" s="74"/>
      <c r="C60" s="73" t="s">
        <v>64</v>
      </c>
      <c r="D60" s="24" t="s">
        <v>144</v>
      </c>
      <c r="E60" s="24">
        <v>0</v>
      </c>
      <c r="F60" s="24">
        <v>700</v>
      </c>
      <c r="G60" s="25">
        <v>0</v>
      </c>
    </row>
    <row r="61" spans="1:7" ht="12.75">
      <c r="A61" s="70"/>
      <c r="B61" s="74"/>
      <c r="C61" s="73" t="s">
        <v>66</v>
      </c>
      <c r="D61" s="24" t="s">
        <v>67</v>
      </c>
      <c r="E61" s="24">
        <v>0</v>
      </c>
      <c r="F61" s="24">
        <v>1250</v>
      </c>
      <c r="G61" s="25">
        <v>0</v>
      </c>
    </row>
    <row r="62" spans="1:7" ht="12.75">
      <c r="A62" s="62"/>
      <c r="B62" s="58"/>
      <c r="C62" s="73" t="s">
        <v>70</v>
      </c>
      <c r="D62" s="24" t="s">
        <v>71</v>
      </c>
      <c r="E62" s="24">
        <v>0</v>
      </c>
      <c r="F62" s="24">
        <v>1646</v>
      </c>
      <c r="G62" s="25">
        <v>0</v>
      </c>
    </row>
    <row r="63" spans="1:7" ht="15.75" customHeight="1">
      <c r="A63" s="74" t="s">
        <v>107</v>
      </c>
      <c r="B63" s="74" t="s">
        <v>120</v>
      </c>
      <c r="C63" s="21" t="s">
        <v>340</v>
      </c>
      <c r="D63" s="10" t="s">
        <v>121</v>
      </c>
      <c r="E63" s="10">
        <v>14000</v>
      </c>
      <c r="F63" s="10">
        <f>F64+F65+F66+F67+F68+F69</f>
        <v>14000</v>
      </c>
      <c r="G63" s="23">
        <v>0</v>
      </c>
    </row>
    <row r="64" spans="1:7" ht="15.75" customHeight="1">
      <c r="A64" s="76"/>
      <c r="B64" s="65"/>
      <c r="C64" s="73" t="s">
        <v>46</v>
      </c>
      <c r="D64" s="24" t="s">
        <v>345</v>
      </c>
      <c r="E64" s="24">
        <v>0</v>
      </c>
      <c r="F64" s="24">
        <v>5842</v>
      </c>
      <c r="G64" s="25">
        <v>0</v>
      </c>
    </row>
    <row r="65" spans="1:7" ht="15.75" customHeight="1">
      <c r="A65" s="77"/>
      <c r="B65" s="74"/>
      <c r="C65" s="73" t="s">
        <v>82</v>
      </c>
      <c r="D65" s="24" t="s">
        <v>122</v>
      </c>
      <c r="E65" s="24">
        <v>0</v>
      </c>
      <c r="F65" s="24">
        <v>465</v>
      </c>
      <c r="G65" s="25">
        <v>0</v>
      </c>
    </row>
    <row r="66" spans="1:7" ht="15.75" customHeight="1">
      <c r="A66" s="77"/>
      <c r="B66" s="74"/>
      <c r="C66" s="73" t="s">
        <v>56</v>
      </c>
      <c r="D66" s="24" t="s">
        <v>57</v>
      </c>
      <c r="E66" s="24">
        <v>0</v>
      </c>
      <c r="F66" s="24">
        <v>66</v>
      </c>
      <c r="G66" s="25">
        <v>0</v>
      </c>
    </row>
    <row r="67" spans="1:7" ht="15.75" customHeight="1">
      <c r="A67" s="77"/>
      <c r="B67" s="74"/>
      <c r="C67" s="73" t="s">
        <v>58</v>
      </c>
      <c r="D67" s="24" t="s">
        <v>59</v>
      </c>
      <c r="E67" s="24">
        <v>0</v>
      </c>
      <c r="F67" s="24">
        <v>3563</v>
      </c>
      <c r="G67" s="25">
        <v>0</v>
      </c>
    </row>
    <row r="68" spans="1:7" ht="15.75" customHeight="1">
      <c r="A68" s="77"/>
      <c r="B68" s="74"/>
      <c r="C68" s="73" t="s">
        <v>64</v>
      </c>
      <c r="D68" s="24" t="s">
        <v>144</v>
      </c>
      <c r="E68" s="24">
        <v>0</v>
      </c>
      <c r="F68" s="24">
        <v>3850</v>
      </c>
      <c r="G68" s="25">
        <v>0</v>
      </c>
    </row>
    <row r="69" spans="1:7" ht="15.75" customHeight="1">
      <c r="A69" s="78"/>
      <c r="B69" s="58"/>
      <c r="C69" s="73" t="s">
        <v>66</v>
      </c>
      <c r="D69" s="24" t="s">
        <v>67</v>
      </c>
      <c r="E69" s="24">
        <v>0</v>
      </c>
      <c r="F69" s="24">
        <v>214</v>
      </c>
      <c r="G69" s="25">
        <v>0</v>
      </c>
    </row>
    <row r="70" spans="1:7" ht="12.75" hidden="1">
      <c r="A70" s="74" t="s">
        <v>125</v>
      </c>
      <c r="B70" s="74" t="s">
        <v>127</v>
      </c>
      <c r="C70" s="21" t="s">
        <v>340</v>
      </c>
      <c r="D70" s="10" t="s">
        <v>128</v>
      </c>
      <c r="E70" s="10">
        <v>0</v>
      </c>
      <c r="F70" s="10">
        <f>F73+F75+F76+F77+F78+F80+F81+F82+F74+F83+F84+F85+F86+F87+F88+F89+F90+F71+F72+F79</f>
        <v>0</v>
      </c>
      <c r="G70" s="23">
        <v>0</v>
      </c>
    </row>
    <row r="71" spans="1:7" ht="12.75" hidden="1">
      <c r="A71" s="76"/>
      <c r="B71" s="65"/>
      <c r="C71" s="73" t="s">
        <v>44</v>
      </c>
      <c r="D71" s="24" t="s">
        <v>346</v>
      </c>
      <c r="E71" s="24">
        <v>0</v>
      </c>
      <c r="F71" s="24">
        <v>0</v>
      </c>
      <c r="G71" s="25">
        <v>0</v>
      </c>
    </row>
    <row r="72" spans="1:7" ht="12.75" hidden="1">
      <c r="A72" s="77"/>
      <c r="B72" s="74"/>
      <c r="C72" s="73" t="s">
        <v>46</v>
      </c>
      <c r="D72" s="24" t="s">
        <v>345</v>
      </c>
      <c r="E72" s="24">
        <v>0</v>
      </c>
      <c r="F72" s="24">
        <v>0</v>
      </c>
      <c r="G72" s="25">
        <v>0</v>
      </c>
    </row>
    <row r="73" spans="1:7" ht="25.5" hidden="1">
      <c r="A73" s="69"/>
      <c r="B73" s="70"/>
      <c r="C73" s="68" t="s">
        <v>48</v>
      </c>
      <c r="D73" s="14" t="s">
        <v>49</v>
      </c>
      <c r="E73" s="11">
        <v>0</v>
      </c>
      <c r="F73" s="11">
        <v>0</v>
      </c>
      <c r="G73" s="28">
        <v>0</v>
      </c>
    </row>
    <row r="74" spans="1:7" ht="25.5" hidden="1">
      <c r="A74" s="69"/>
      <c r="B74" s="70"/>
      <c r="C74" s="68" t="s">
        <v>50</v>
      </c>
      <c r="D74" s="14" t="s">
        <v>129</v>
      </c>
      <c r="E74" s="11">
        <v>0</v>
      </c>
      <c r="F74" s="11">
        <v>0</v>
      </c>
      <c r="G74" s="28">
        <v>0</v>
      </c>
    </row>
    <row r="75" spans="1:7" ht="25.5" hidden="1">
      <c r="A75" s="69"/>
      <c r="B75" s="70"/>
      <c r="C75" s="68" t="s">
        <v>52</v>
      </c>
      <c r="D75" s="14" t="s">
        <v>347</v>
      </c>
      <c r="E75" s="11">
        <v>0</v>
      </c>
      <c r="F75" s="11">
        <v>0</v>
      </c>
      <c r="G75" s="28">
        <v>0</v>
      </c>
    </row>
    <row r="76" spans="1:7" ht="25.5" hidden="1">
      <c r="A76" s="69"/>
      <c r="B76" s="70"/>
      <c r="C76" s="68" t="s">
        <v>130</v>
      </c>
      <c r="D76" s="14" t="s">
        <v>348</v>
      </c>
      <c r="E76" s="11">
        <v>0</v>
      </c>
      <c r="F76" s="11">
        <v>0</v>
      </c>
      <c r="G76" s="28">
        <v>0</v>
      </c>
    </row>
    <row r="77" spans="1:7" ht="12.75" hidden="1">
      <c r="A77" s="69"/>
      <c r="B77" s="70"/>
      <c r="C77" s="68" t="s">
        <v>132</v>
      </c>
      <c r="D77" s="11" t="s">
        <v>349</v>
      </c>
      <c r="E77" s="11">
        <v>0</v>
      </c>
      <c r="F77" s="11">
        <v>0</v>
      </c>
      <c r="G77" s="28">
        <v>0</v>
      </c>
    </row>
    <row r="78" spans="1:7" ht="12.75" hidden="1">
      <c r="A78" s="69"/>
      <c r="B78" s="70"/>
      <c r="C78" s="68" t="s">
        <v>134</v>
      </c>
      <c r="D78" s="11" t="s">
        <v>135</v>
      </c>
      <c r="E78" s="11">
        <v>0</v>
      </c>
      <c r="F78" s="11">
        <v>0</v>
      </c>
      <c r="G78" s="28">
        <v>0</v>
      </c>
    </row>
    <row r="79" spans="1:7" ht="38.25" hidden="1">
      <c r="A79" s="69"/>
      <c r="B79" s="70"/>
      <c r="C79" s="68" t="s">
        <v>136</v>
      </c>
      <c r="D79" s="14" t="s">
        <v>354</v>
      </c>
      <c r="E79" s="11">
        <v>0</v>
      </c>
      <c r="F79" s="11">
        <v>0</v>
      </c>
      <c r="G79" s="28"/>
    </row>
    <row r="80" spans="1:7" ht="12.75" hidden="1">
      <c r="A80" s="69"/>
      <c r="B80" s="70"/>
      <c r="C80" s="68" t="s">
        <v>82</v>
      </c>
      <c r="D80" s="14" t="s">
        <v>350</v>
      </c>
      <c r="E80" s="11">
        <v>0</v>
      </c>
      <c r="F80" s="11">
        <v>0</v>
      </c>
      <c r="G80" s="28">
        <v>0</v>
      </c>
    </row>
    <row r="81" spans="1:7" ht="18" customHeight="1" hidden="1">
      <c r="A81" s="69"/>
      <c r="B81" s="70"/>
      <c r="C81" s="71" t="s">
        <v>56</v>
      </c>
      <c r="D81" s="14" t="s">
        <v>57</v>
      </c>
      <c r="E81" s="11">
        <v>0</v>
      </c>
      <c r="F81" s="11">
        <v>0</v>
      </c>
      <c r="G81" s="28">
        <v>0</v>
      </c>
    </row>
    <row r="82" spans="1:7" ht="12.75" hidden="1">
      <c r="A82" s="69"/>
      <c r="B82" s="70"/>
      <c r="C82" s="68" t="s">
        <v>58</v>
      </c>
      <c r="D82" s="11" t="s">
        <v>59</v>
      </c>
      <c r="E82" s="11">
        <v>0</v>
      </c>
      <c r="F82" s="11">
        <v>0</v>
      </c>
      <c r="G82" s="28">
        <v>0</v>
      </c>
    </row>
    <row r="83" spans="1:7" ht="12.75" hidden="1">
      <c r="A83" s="69"/>
      <c r="B83" s="70"/>
      <c r="C83" s="68" t="s">
        <v>138</v>
      </c>
      <c r="D83" s="11" t="s">
        <v>351</v>
      </c>
      <c r="E83" s="11">
        <v>0</v>
      </c>
      <c r="F83" s="11">
        <v>0</v>
      </c>
      <c r="G83" s="28">
        <v>0</v>
      </c>
    </row>
    <row r="84" spans="1:7" ht="12.75" hidden="1">
      <c r="A84" s="69"/>
      <c r="B84" s="70"/>
      <c r="C84" s="68" t="s">
        <v>140</v>
      </c>
      <c r="D84" s="11" t="s">
        <v>141</v>
      </c>
      <c r="E84" s="11">
        <v>0</v>
      </c>
      <c r="F84" s="11">
        <v>0</v>
      </c>
      <c r="G84" s="28">
        <v>0</v>
      </c>
    </row>
    <row r="85" spans="1:7" ht="12.75" hidden="1">
      <c r="A85" s="69"/>
      <c r="B85" s="70"/>
      <c r="C85" s="68" t="s">
        <v>60</v>
      </c>
      <c r="D85" s="11" t="s">
        <v>142</v>
      </c>
      <c r="E85" s="11">
        <v>0</v>
      </c>
      <c r="F85" s="11">
        <v>0</v>
      </c>
      <c r="G85" s="28">
        <v>0</v>
      </c>
    </row>
    <row r="86" spans="1:7" ht="12.75" hidden="1">
      <c r="A86" s="69"/>
      <c r="B86" s="70"/>
      <c r="C86" s="68" t="s">
        <v>62</v>
      </c>
      <c r="D86" s="11" t="s">
        <v>143</v>
      </c>
      <c r="E86" s="11">
        <v>0</v>
      </c>
      <c r="F86" s="11">
        <v>0</v>
      </c>
      <c r="G86" s="28">
        <v>0</v>
      </c>
    </row>
    <row r="87" spans="1:7" ht="12.75" hidden="1">
      <c r="A87" s="69"/>
      <c r="B87" s="70"/>
      <c r="C87" s="68" t="s">
        <v>64</v>
      </c>
      <c r="D87" s="11" t="s">
        <v>144</v>
      </c>
      <c r="E87" s="11">
        <v>0</v>
      </c>
      <c r="F87" s="11">
        <v>0</v>
      </c>
      <c r="G87" s="28">
        <v>0</v>
      </c>
    </row>
    <row r="88" spans="1:7" ht="12.75" hidden="1">
      <c r="A88" s="69"/>
      <c r="B88" s="70"/>
      <c r="C88" s="348" t="s">
        <v>66</v>
      </c>
      <c r="D88" s="110" t="s">
        <v>67</v>
      </c>
      <c r="E88" s="110">
        <v>0</v>
      </c>
      <c r="F88" s="110">
        <v>0</v>
      </c>
      <c r="G88" s="55">
        <v>0</v>
      </c>
    </row>
    <row r="89" spans="1:7" ht="12.75" hidden="1">
      <c r="A89" s="32"/>
      <c r="B89" s="32"/>
      <c r="C89" s="32" t="s">
        <v>70</v>
      </c>
      <c r="D89" s="11" t="s">
        <v>71</v>
      </c>
      <c r="E89" s="11">
        <v>0</v>
      </c>
      <c r="F89" s="11">
        <v>0</v>
      </c>
      <c r="G89" s="28">
        <v>0</v>
      </c>
    </row>
    <row r="90" spans="1:7" ht="12.75" hidden="1">
      <c r="A90" s="32"/>
      <c r="B90" s="32"/>
      <c r="C90" s="32" t="s">
        <v>86</v>
      </c>
      <c r="D90" s="11" t="s">
        <v>87</v>
      </c>
      <c r="E90" s="11">
        <v>0</v>
      </c>
      <c r="F90" s="11">
        <v>0</v>
      </c>
      <c r="G90" s="28">
        <v>0</v>
      </c>
    </row>
    <row r="91" spans="1:7" ht="24.75" customHeight="1">
      <c r="A91" s="58" t="s">
        <v>125</v>
      </c>
      <c r="B91" s="58" t="s">
        <v>145</v>
      </c>
      <c r="C91" s="21" t="s">
        <v>340</v>
      </c>
      <c r="D91" s="7" t="s">
        <v>352</v>
      </c>
      <c r="E91" s="10">
        <v>1803000</v>
      </c>
      <c r="F91" s="10">
        <f>F92+F93+F94+F95+F96+F97+F98+F100+F99+F107+F109+F110+F111+F112+F113+F114+F115+F116+F117+F118+F108</f>
        <v>1803000</v>
      </c>
      <c r="G91" s="23">
        <v>0</v>
      </c>
    </row>
    <row r="92" spans="1:7" ht="24.75" customHeight="1">
      <c r="A92" s="21"/>
      <c r="B92" s="34"/>
      <c r="C92" s="34" t="s">
        <v>50</v>
      </c>
      <c r="D92" s="33" t="s">
        <v>353</v>
      </c>
      <c r="E92" s="24">
        <v>0</v>
      </c>
      <c r="F92" s="24">
        <v>17000</v>
      </c>
      <c r="G92" s="25">
        <v>0</v>
      </c>
    </row>
    <row r="93" spans="1:7" ht="24.75" customHeight="1">
      <c r="A93" s="76"/>
      <c r="B93" s="79"/>
      <c r="C93" s="73" t="s">
        <v>52</v>
      </c>
      <c r="D93" s="33" t="s">
        <v>347</v>
      </c>
      <c r="E93" s="24">
        <v>0</v>
      </c>
      <c r="F93" s="24">
        <v>1415</v>
      </c>
      <c r="G93" s="25">
        <v>0</v>
      </c>
    </row>
    <row r="94" spans="1:7" ht="24.75" customHeight="1">
      <c r="A94" s="77"/>
      <c r="B94" s="80"/>
      <c r="C94" s="73" t="s">
        <v>130</v>
      </c>
      <c r="D94" s="14" t="s">
        <v>348</v>
      </c>
      <c r="E94" s="24">
        <v>0</v>
      </c>
      <c r="F94" s="24">
        <v>1149573</v>
      </c>
      <c r="G94" s="25">
        <v>0</v>
      </c>
    </row>
    <row r="95" spans="1:7" ht="17.25" customHeight="1">
      <c r="A95" s="77"/>
      <c r="B95" s="80"/>
      <c r="C95" s="73" t="s">
        <v>132</v>
      </c>
      <c r="D95" s="11" t="s">
        <v>349</v>
      </c>
      <c r="E95" s="24">
        <v>0</v>
      </c>
      <c r="F95" s="24">
        <v>33700</v>
      </c>
      <c r="G95" s="25">
        <v>0</v>
      </c>
    </row>
    <row r="96" spans="1:7" ht="14.25" customHeight="1">
      <c r="A96" s="77"/>
      <c r="B96" s="80"/>
      <c r="C96" s="68" t="s">
        <v>134</v>
      </c>
      <c r="D96" s="11" t="s">
        <v>135</v>
      </c>
      <c r="E96" s="24">
        <v>0</v>
      </c>
      <c r="F96" s="24">
        <v>86500</v>
      </c>
      <c r="G96" s="25">
        <v>0</v>
      </c>
    </row>
    <row r="97" spans="1:7" ht="39" customHeight="1">
      <c r="A97" s="77"/>
      <c r="B97" s="80"/>
      <c r="C97" s="68" t="s">
        <v>136</v>
      </c>
      <c r="D97" s="14" t="s">
        <v>354</v>
      </c>
      <c r="E97" s="24">
        <v>0</v>
      </c>
      <c r="F97" s="24">
        <v>31300</v>
      </c>
      <c r="G97" s="25">
        <v>0</v>
      </c>
    </row>
    <row r="98" spans="1:7" ht="17.25" customHeight="1">
      <c r="A98" s="77"/>
      <c r="B98" s="80"/>
      <c r="C98" s="71" t="s">
        <v>82</v>
      </c>
      <c r="D98" s="14" t="s">
        <v>350</v>
      </c>
      <c r="E98" s="24">
        <v>0</v>
      </c>
      <c r="F98" s="24">
        <v>38000</v>
      </c>
      <c r="G98" s="25">
        <v>0</v>
      </c>
    </row>
    <row r="99" spans="1:7" ht="16.5" customHeight="1">
      <c r="A99" s="77"/>
      <c r="B99" s="80"/>
      <c r="C99" s="71" t="s">
        <v>56</v>
      </c>
      <c r="D99" s="14" t="s">
        <v>57</v>
      </c>
      <c r="E99" s="24">
        <v>0</v>
      </c>
      <c r="F99" s="24">
        <v>5410</v>
      </c>
      <c r="G99" s="25">
        <v>0</v>
      </c>
    </row>
    <row r="100" spans="1:7" ht="19.5" customHeight="1">
      <c r="A100" s="77"/>
      <c r="B100" s="80"/>
      <c r="C100" s="73" t="s">
        <v>44</v>
      </c>
      <c r="D100" s="33" t="s">
        <v>346</v>
      </c>
      <c r="E100" s="24">
        <v>0</v>
      </c>
      <c r="F100" s="24">
        <v>219000</v>
      </c>
      <c r="G100" s="25">
        <v>0</v>
      </c>
    </row>
    <row r="101" spans="1:7" ht="14.25" customHeight="1" hidden="1">
      <c r="A101" s="77" t="s">
        <v>221</v>
      </c>
      <c r="B101" s="74" t="s">
        <v>234</v>
      </c>
      <c r="C101" s="81" t="s">
        <v>340</v>
      </c>
      <c r="D101" s="10" t="s">
        <v>337</v>
      </c>
      <c r="E101" s="10">
        <v>0</v>
      </c>
      <c r="F101" s="10">
        <f>F102+F103+F104+F106+F105</f>
        <v>0</v>
      </c>
      <c r="G101" s="82">
        <v>0</v>
      </c>
    </row>
    <row r="102" spans="1:7" ht="24" customHeight="1" hidden="1">
      <c r="A102" s="77"/>
      <c r="B102" s="74"/>
      <c r="C102" s="73" t="s">
        <v>48</v>
      </c>
      <c r="D102" s="33" t="s">
        <v>49</v>
      </c>
      <c r="E102" s="24">
        <v>0</v>
      </c>
      <c r="F102" s="24">
        <v>0</v>
      </c>
      <c r="G102" s="83">
        <v>0</v>
      </c>
    </row>
    <row r="103" spans="1:7" ht="21.75" customHeight="1" hidden="1">
      <c r="A103" s="77"/>
      <c r="B103" s="74"/>
      <c r="C103" s="73" t="s">
        <v>52</v>
      </c>
      <c r="D103" s="24" t="s">
        <v>343</v>
      </c>
      <c r="E103" s="24">
        <v>0</v>
      </c>
      <c r="F103" s="24">
        <v>0</v>
      </c>
      <c r="G103" s="83">
        <v>0</v>
      </c>
    </row>
    <row r="104" spans="1:7" ht="24.75" customHeight="1" hidden="1">
      <c r="A104" s="77"/>
      <c r="B104" s="74"/>
      <c r="C104" s="75" t="s">
        <v>82</v>
      </c>
      <c r="D104" s="33" t="s">
        <v>122</v>
      </c>
      <c r="E104" s="24">
        <v>0</v>
      </c>
      <c r="F104" s="24">
        <v>0</v>
      </c>
      <c r="G104" s="83">
        <v>0</v>
      </c>
    </row>
    <row r="105" spans="1:7" ht="24.75" customHeight="1" hidden="1">
      <c r="A105" s="77"/>
      <c r="B105" s="74"/>
      <c r="C105" s="75" t="s">
        <v>56</v>
      </c>
      <c r="D105" s="33" t="s">
        <v>57</v>
      </c>
      <c r="E105" s="24">
        <v>0</v>
      </c>
      <c r="F105" s="24">
        <v>0</v>
      </c>
      <c r="G105" s="83">
        <v>0</v>
      </c>
    </row>
    <row r="106" spans="1:7" ht="21.75" customHeight="1" hidden="1">
      <c r="A106" s="77"/>
      <c r="B106" s="74"/>
      <c r="C106" s="73"/>
      <c r="D106" s="24" t="s">
        <v>175</v>
      </c>
      <c r="E106" s="24">
        <v>0</v>
      </c>
      <c r="F106" s="24">
        <v>0</v>
      </c>
      <c r="G106" s="83">
        <v>0</v>
      </c>
    </row>
    <row r="107" spans="1:7" ht="21.75" customHeight="1">
      <c r="A107" s="77"/>
      <c r="B107" s="74"/>
      <c r="C107" s="73" t="s">
        <v>58</v>
      </c>
      <c r="D107" s="24" t="s">
        <v>59</v>
      </c>
      <c r="E107" s="24">
        <v>0</v>
      </c>
      <c r="F107" s="24">
        <v>83821</v>
      </c>
      <c r="G107" s="83">
        <v>0</v>
      </c>
    </row>
    <row r="108" spans="1:7" ht="21.75" customHeight="1">
      <c r="A108" s="77"/>
      <c r="B108" s="74"/>
      <c r="C108" s="73" t="s">
        <v>138</v>
      </c>
      <c r="D108" s="24" t="s">
        <v>351</v>
      </c>
      <c r="E108" s="24">
        <v>0</v>
      </c>
      <c r="F108" s="24">
        <v>2000</v>
      </c>
      <c r="G108" s="83"/>
    </row>
    <row r="109" spans="1:7" ht="21.75" customHeight="1">
      <c r="A109" s="77"/>
      <c r="B109" s="74"/>
      <c r="C109" s="391" t="s">
        <v>140</v>
      </c>
      <c r="D109" s="196" t="s">
        <v>141</v>
      </c>
      <c r="E109" s="196">
        <v>0</v>
      </c>
      <c r="F109" s="196">
        <v>35500</v>
      </c>
      <c r="G109" s="392">
        <v>0</v>
      </c>
    </row>
    <row r="110" spans="1:7" ht="21.75" customHeight="1">
      <c r="A110" s="21"/>
      <c r="B110" s="21"/>
      <c r="C110" s="34" t="s">
        <v>60</v>
      </c>
      <c r="D110" s="24" t="s">
        <v>142</v>
      </c>
      <c r="E110" s="24">
        <v>0</v>
      </c>
      <c r="F110" s="24">
        <v>17000</v>
      </c>
      <c r="G110" s="83">
        <v>0</v>
      </c>
    </row>
    <row r="111" spans="1:7" ht="21.75" customHeight="1">
      <c r="A111" s="21"/>
      <c r="B111" s="21"/>
      <c r="C111" s="34" t="s">
        <v>62</v>
      </c>
      <c r="D111" s="24" t="s">
        <v>143</v>
      </c>
      <c r="E111" s="24">
        <v>0</v>
      </c>
      <c r="F111" s="24">
        <v>3245</v>
      </c>
      <c r="G111" s="83">
        <v>0</v>
      </c>
    </row>
    <row r="112" spans="1:7" ht="21.75" customHeight="1">
      <c r="A112" s="77"/>
      <c r="B112" s="74"/>
      <c r="C112" s="393" t="s">
        <v>64</v>
      </c>
      <c r="D112" s="394" t="s">
        <v>144</v>
      </c>
      <c r="E112" s="394">
        <v>0</v>
      </c>
      <c r="F112" s="394">
        <v>56000</v>
      </c>
      <c r="G112" s="395">
        <v>0</v>
      </c>
    </row>
    <row r="113" spans="1:7" ht="21.75" customHeight="1">
      <c r="A113" s="77"/>
      <c r="B113" s="74"/>
      <c r="C113" s="73" t="s">
        <v>66</v>
      </c>
      <c r="D113" s="24" t="s">
        <v>67</v>
      </c>
      <c r="E113" s="24">
        <v>0</v>
      </c>
      <c r="F113" s="24">
        <v>8000</v>
      </c>
      <c r="G113" s="83">
        <v>0</v>
      </c>
    </row>
    <row r="114" spans="1:7" ht="21.75" customHeight="1">
      <c r="A114" s="77"/>
      <c r="B114" s="74"/>
      <c r="C114" s="73" t="s">
        <v>68</v>
      </c>
      <c r="D114" s="24" t="s">
        <v>69</v>
      </c>
      <c r="E114" s="24">
        <v>0</v>
      </c>
      <c r="F114" s="24">
        <v>7000</v>
      </c>
      <c r="G114" s="83">
        <v>0</v>
      </c>
    </row>
    <row r="115" spans="1:7" ht="21.75" customHeight="1">
      <c r="A115" s="77"/>
      <c r="B115" s="74"/>
      <c r="C115" s="73" t="s">
        <v>70</v>
      </c>
      <c r="D115" s="24" t="s">
        <v>71</v>
      </c>
      <c r="E115" s="24">
        <v>0</v>
      </c>
      <c r="F115" s="24">
        <v>876</v>
      </c>
      <c r="G115" s="83">
        <v>0</v>
      </c>
    </row>
    <row r="116" spans="1:7" ht="21.75" customHeight="1">
      <c r="A116" s="77"/>
      <c r="B116" s="74"/>
      <c r="C116" s="73" t="s">
        <v>86</v>
      </c>
      <c r="D116" s="24" t="s">
        <v>87</v>
      </c>
      <c r="E116" s="24">
        <v>0</v>
      </c>
      <c r="F116" s="24">
        <v>7500</v>
      </c>
      <c r="G116" s="83">
        <v>0</v>
      </c>
    </row>
    <row r="117" spans="1:7" ht="21.75" customHeight="1">
      <c r="A117" s="77"/>
      <c r="B117" s="74"/>
      <c r="C117" s="73" t="s">
        <v>148</v>
      </c>
      <c r="D117" s="24" t="s">
        <v>355</v>
      </c>
      <c r="E117" s="24">
        <v>0</v>
      </c>
      <c r="F117" s="24">
        <v>160</v>
      </c>
      <c r="G117" s="83">
        <v>0</v>
      </c>
    </row>
    <row r="118" spans="1:7" ht="21.75" customHeight="1">
      <c r="A118" s="78"/>
      <c r="B118" s="58"/>
      <c r="C118" s="73" t="s">
        <v>88</v>
      </c>
      <c r="D118" s="24" t="s">
        <v>356</v>
      </c>
      <c r="E118" s="24">
        <v>0</v>
      </c>
      <c r="F118" s="24">
        <v>0</v>
      </c>
      <c r="G118" s="83">
        <v>0</v>
      </c>
    </row>
    <row r="119" spans="1:7" ht="33.75" customHeight="1">
      <c r="A119" s="58" t="s">
        <v>221</v>
      </c>
      <c r="B119" s="58" t="s">
        <v>240</v>
      </c>
      <c r="C119" s="21" t="s">
        <v>340</v>
      </c>
      <c r="D119" s="7" t="s">
        <v>357</v>
      </c>
      <c r="E119" s="10">
        <v>363000</v>
      </c>
      <c r="F119" s="10">
        <f>F120</f>
        <v>363000</v>
      </c>
      <c r="G119" s="82">
        <v>0</v>
      </c>
    </row>
    <row r="120" spans="1:7" ht="20.25" customHeight="1">
      <c r="A120" s="21"/>
      <c r="B120" s="21"/>
      <c r="C120" s="34" t="s">
        <v>242</v>
      </c>
      <c r="D120" s="33" t="s">
        <v>358</v>
      </c>
      <c r="E120" s="24">
        <v>0</v>
      </c>
      <c r="F120" s="24">
        <v>363000</v>
      </c>
      <c r="G120" s="83">
        <v>0</v>
      </c>
    </row>
    <row r="121" spans="1:7" ht="38.25">
      <c r="A121" s="21" t="s">
        <v>246</v>
      </c>
      <c r="B121" s="21" t="s">
        <v>263</v>
      </c>
      <c r="C121" s="21" t="s">
        <v>340</v>
      </c>
      <c r="D121" s="7" t="s">
        <v>359</v>
      </c>
      <c r="E121" s="10">
        <v>43700</v>
      </c>
      <c r="F121" s="10">
        <f>F122</f>
        <v>43700</v>
      </c>
      <c r="G121" s="23">
        <v>0</v>
      </c>
    </row>
    <row r="122" spans="1:7" ht="12.75">
      <c r="A122" s="21"/>
      <c r="B122" s="21"/>
      <c r="C122" s="34" t="s">
        <v>250</v>
      </c>
      <c r="D122" s="33" t="s">
        <v>251</v>
      </c>
      <c r="E122" s="24">
        <v>0</v>
      </c>
      <c r="F122" s="24">
        <v>43700</v>
      </c>
      <c r="G122" s="25">
        <v>0</v>
      </c>
    </row>
    <row r="123" spans="1:7" ht="25.5">
      <c r="A123" s="65" t="s">
        <v>246</v>
      </c>
      <c r="B123" s="65" t="s">
        <v>265</v>
      </c>
      <c r="C123" s="21" t="s">
        <v>340</v>
      </c>
      <c r="D123" s="7" t="s">
        <v>266</v>
      </c>
      <c r="E123" s="10">
        <v>26958</v>
      </c>
      <c r="F123" s="10">
        <f>F124+F126+F125+F127+F128+F129+F130+F131+F132</f>
        <v>26958</v>
      </c>
      <c r="G123" s="23">
        <v>0</v>
      </c>
    </row>
    <row r="124" spans="1:7" ht="25.5">
      <c r="A124" s="67"/>
      <c r="B124" s="84"/>
      <c r="C124" s="73" t="s">
        <v>48</v>
      </c>
      <c r="D124" s="33" t="s">
        <v>49</v>
      </c>
      <c r="E124" s="24">
        <v>0</v>
      </c>
      <c r="F124" s="24">
        <v>16000</v>
      </c>
      <c r="G124" s="25">
        <v>0</v>
      </c>
    </row>
    <row r="125" spans="1:7" ht="12.75">
      <c r="A125" s="70"/>
      <c r="B125" s="85"/>
      <c r="C125" s="73" t="s">
        <v>52</v>
      </c>
      <c r="D125" s="33" t="s">
        <v>343</v>
      </c>
      <c r="E125" s="24">
        <v>0</v>
      </c>
      <c r="F125" s="24">
        <v>1300</v>
      </c>
      <c r="G125" s="25">
        <v>0</v>
      </c>
    </row>
    <row r="126" spans="1:7" ht="12.75">
      <c r="A126" s="70"/>
      <c r="B126" s="85"/>
      <c r="C126" s="75" t="s">
        <v>82</v>
      </c>
      <c r="D126" s="33" t="s">
        <v>122</v>
      </c>
      <c r="E126" s="24">
        <v>0</v>
      </c>
      <c r="F126" s="24">
        <v>3000</v>
      </c>
      <c r="G126" s="25">
        <v>0</v>
      </c>
    </row>
    <row r="127" spans="1:7" ht="12.75">
      <c r="A127" s="70"/>
      <c r="B127" s="85"/>
      <c r="C127" s="75" t="s">
        <v>56</v>
      </c>
      <c r="D127" s="33" t="s">
        <v>57</v>
      </c>
      <c r="E127" s="24">
        <v>0</v>
      </c>
      <c r="F127" s="24">
        <v>400</v>
      </c>
      <c r="G127" s="25">
        <v>0</v>
      </c>
    </row>
    <row r="128" spans="1:7" ht="13.5" customHeight="1">
      <c r="A128" s="70"/>
      <c r="B128" s="85"/>
      <c r="C128" s="75" t="s">
        <v>58</v>
      </c>
      <c r="D128" s="33" t="s">
        <v>59</v>
      </c>
      <c r="E128" s="24">
        <v>0</v>
      </c>
      <c r="F128" s="24">
        <v>1500</v>
      </c>
      <c r="G128" s="25">
        <v>0</v>
      </c>
    </row>
    <row r="129" spans="1:7" ht="12.75">
      <c r="A129" s="32"/>
      <c r="B129" s="21"/>
      <c r="C129" s="75" t="s">
        <v>60</v>
      </c>
      <c r="D129" s="33" t="s">
        <v>142</v>
      </c>
      <c r="E129" s="24">
        <v>0</v>
      </c>
      <c r="F129" s="24">
        <v>1000</v>
      </c>
      <c r="G129" s="25">
        <v>0</v>
      </c>
    </row>
    <row r="130" spans="1:7" ht="12.75">
      <c r="A130" s="32"/>
      <c r="B130" s="21"/>
      <c r="C130" s="75" t="s">
        <v>64</v>
      </c>
      <c r="D130" s="33" t="s">
        <v>144</v>
      </c>
      <c r="E130" s="24">
        <v>0</v>
      </c>
      <c r="F130" s="24">
        <v>2658</v>
      </c>
      <c r="G130" s="25">
        <v>0</v>
      </c>
    </row>
    <row r="131" spans="1:7" ht="12.75">
      <c r="A131" s="70"/>
      <c r="B131" s="85"/>
      <c r="C131" s="75" t="s">
        <v>66</v>
      </c>
      <c r="D131" s="33" t="s">
        <v>67</v>
      </c>
      <c r="E131" s="24">
        <v>0</v>
      </c>
      <c r="F131" s="24">
        <v>500</v>
      </c>
      <c r="G131" s="25">
        <v>0</v>
      </c>
    </row>
    <row r="132" spans="1:7" ht="12.75">
      <c r="A132" s="62"/>
      <c r="B132" s="86"/>
      <c r="C132" s="75" t="s">
        <v>70</v>
      </c>
      <c r="D132" s="33" t="s">
        <v>71</v>
      </c>
      <c r="E132" s="24">
        <v>0</v>
      </c>
      <c r="F132" s="24">
        <v>600</v>
      </c>
      <c r="G132" s="25">
        <v>0</v>
      </c>
    </row>
    <row r="133" spans="1:7" ht="25.5">
      <c r="A133" s="58" t="s">
        <v>246</v>
      </c>
      <c r="B133" s="58" t="s">
        <v>267</v>
      </c>
      <c r="C133" s="21" t="s">
        <v>340</v>
      </c>
      <c r="D133" s="7" t="s">
        <v>360</v>
      </c>
      <c r="E133" s="10">
        <v>37238</v>
      </c>
      <c r="F133" s="10">
        <f>F134</f>
        <v>37238</v>
      </c>
      <c r="G133" s="23">
        <v>0</v>
      </c>
    </row>
    <row r="134" spans="1:7" ht="25.5">
      <c r="A134" s="32"/>
      <c r="B134" s="21"/>
      <c r="C134" s="34" t="s">
        <v>361</v>
      </c>
      <c r="D134" s="33" t="s">
        <v>362</v>
      </c>
      <c r="E134" s="24">
        <v>0</v>
      </c>
      <c r="F134" s="24">
        <v>37238</v>
      </c>
      <c r="G134" s="25">
        <v>0</v>
      </c>
    </row>
    <row r="135" spans="1:7" ht="12.75">
      <c r="A135" s="65" t="s">
        <v>246</v>
      </c>
      <c r="B135" s="65" t="s">
        <v>277</v>
      </c>
      <c r="C135" s="21" t="s">
        <v>340</v>
      </c>
      <c r="D135" s="10" t="s">
        <v>278</v>
      </c>
      <c r="E135" s="10">
        <v>405365</v>
      </c>
      <c r="F135" s="10">
        <f>F136+F137+F138+F139+F140+F141+F143+F144+F145+F146+F147</f>
        <v>405365</v>
      </c>
      <c r="G135" s="23">
        <v>0</v>
      </c>
    </row>
    <row r="136" spans="1:7" ht="25.5">
      <c r="A136" s="66"/>
      <c r="B136" s="65"/>
      <c r="C136" s="73" t="s">
        <v>48</v>
      </c>
      <c r="D136" s="33" t="s">
        <v>49</v>
      </c>
      <c r="E136" s="24">
        <v>0</v>
      </c>
      <c r="F136" s="24">
        <v>270565</v>
      </c>
      <c r="G136" s="25">
        <v>0</v>
      </c>
    </row>
    <row r="137" spans="1:7" ht="12.75">
      <c r="A137" s="69"/>
      <c r="B137" s="74"/>
      <c r="C137" s="73" t="s">
        <v>52</v>
      </c>
      <c r="D137" s="24" t="s">
        <v>343</v>
      </c>
      <c r="E137" s="24">
        <v>0</v>
      </c>
      <c r="F137" s="24">
        <v>22726</v>
      </c>
      <c r="G137" s="25">
        <v>0</v>
      </c>
    </row>
    <row r="138" spans="1:7" ht="12.75">
      <c r="A138" s="69"/>
      <c r="B138" s="74"/>
      <c r="C138" s="75" t="s">
        <v>82</v>
      </c>
      <c r="D138" s="33" t="s">
        <v>122</v>
      </c>
      <c r="E138" s="24">
        <v>0</v>
      </c>
      <c r="F138" s="24">
        <v>52473</v>
      </c>
      <c r="G138" s="25">
        <v>0</v>
      </c>
    </row>
    <row r="139" spans="1:7" ht="12.75">
      <c r="A139" s="69"/>
      <c r="B139" s="74"/>
      <c r="C139" s="75" t="s">
        <v>56</v>
      </c>
      <c r="D139" s="33" t="s">
        <v>57</v>
      </c>
      <c r="E139" s="24">
        <v>0</v>
      </c>
      <c r="F139" s="24">
        <v>8335</v>
      </c>
      <c r="G139" s="25">
        <v>0</v>
      </c>
    </row>
    <row r="140" spans="1:7" ht="12.75">
      <c r="A140" s="69"/>
      <c r="B140" s="70"/>
      <c r="C140" s="73" t="s">
        <v>58</v>
      </c>
      <c r="D140" s="24" t="s">
        <v>59</v>
      </c>
      <c r="E140" s="24">
        <v>0</v>
      </c>
      <c r="F140" s="24">
        <v>7117</v>
      </c>
      <c r="G140" s="25">
        <v>0</v>
      </c>
    </row>
    <row r="141" spans="1:7" ht="12.75">
      <c r="A141" s="69"/>
      <c r="B141" s="70"/>
      <c r="C141" s="73" t="s">
        <v>60</v>
      </c>
      <c r="D141" s="24" t="s">
        <v>142</v>
      </c>
      <c r="E141" s="24">
        <v>0</v>
      </c>
      <c r="F141" s="24">
        <v>15704</v>
      </c>
      <c r="G141" s="25">
        <v>0</v>
      </c>
    </row>
    <row r="142" spans="1:7" ht="12.75" hidden="1">
      <c r="A142" s="69"/>
      <c r="B142" s="70"/>
      <c r="C142" s="73" t="s">
        <v>62</v>
      </c>
      <c r="D142" s="24" t="s">
        <v>143</v>
      </c>
      <c r="E142" s="24">
        <v>0</v>
      </c>
      <c r="F142" s="24">
        <v>15074</v>
      </c>
      <c r="G142" s="25">
        <v>0</v>
      </c>
    </row>
    <row r="143" spans="1:7" ht="12.75">
      <c r="A143" s="69"/>
      <c r="B143" s="70"/>
      <c r="C143" s="73" t="s">
        <v>64</v>
      </c>
      <c r="D143" s="24" t="s">
        <v>144</v>
      </c>
      <c r="E143" s="24">
        <v>0</v>
      </c>
      <c r="F143" s="24">
        <v>15074</v>
      </c>
      <c r="G143" s="25">
        <v>0</v>
      </c>
    </row>
    <row r="144" spans="1:7" ht="12.75">
      <c r="A144" s="69"/>
      <c r="B144" s="70"/>
      <c r="C144" s="73" t="s">
        <v>66</v>
      </c>
      <c r="D144" s="24" t="s">
        <v>67</v>
      </c>
      <c r="E144" s="24">
        <v>0</v>
      </c>
      <c r="F144" s="24">
        <v>901</v>
      </c>
      <c r="G144" s="25">
        <v>0</v>
      </c>
    </row>
    <row r="145" spans="1:7" ht="12.75">
      <c r="A145" s="69"/>
      <c r="B145" s="70"/>
      <c r="C145" s="73" t="s">
        <v>68</v>
      </c>
      <c r="D145" s="24" t="s">
        <v>69</v>
      </c>
      <c r="E145" s="24">
        <v>0</v>
      </c>
      <c r="F145" s="24">
        <v>1441</v>
      </c>
      <c r="G145" s="25">
        <v>0</v>
      </c>
    </row>
    <row r="146" spans="1:7" ht="12.75">
      <c r="A146" s="69"/>
      <c r="B146" s="70"/>
      <c r="C146" s="73" t="s">
        <v>70</v>
      </c>
      <c r="D146" s="24" t="s">
        <v>71</v>
      </c>
      <c r="E146" s="24">
        <v>0</v>
      </c>
      <c r="F146" s="24">
        <v>9885</v>
      </c>
      <c r="G146" s="25">
        <v>0</v>
      </c>
    </row>
    <row r="147" spans="1:7" ht="12.75">
      <c r="A147" s="72"/>
      <c r="B147" s="62"/>
      <c r="C147" s="73" t="s">
        <v>86</v>
      </c>
      <c r="D147" s="24" t="s">
        <v>87</v>
      </c>
      <c r="E147" s="24">
        <v>0</v>
      </c>
      <c r="F147" s="24">
        <v>1144</v>
      </c>
      <c r="G147" s="25">
        <v>0</v>
      </c>
    </row>
    <row r="148" spans="1:7" ht="21" customHeight="1">
      <c r="A148" s="557" t="s">
        <v>363</v>
      </c>
      <c r="B148" s="558"/>
      <c r="C148" s="559"/>
      <c r="D148" s="560"/>
      <c r="E148" s="10">
        <f>E16+E18+E33+E39+E41+E43+E53+E63+E91+E119+E121+E123+E133+E135</f>
        <v>3101926</v>
      </c>
      <c r="F148" s="10">
        <f>F16+F18+F33+F39+F41+F43+F53+F63+F91+F119+F121+F123+F133+F135</f>
        <v>3101926</v>
      </c>
      <c r="G148" s="10">
        <f>G16+G18+G33+G39+G41+G43+G53+G63+H142+G70+G91+G101+G119+G121+G123+G133+G135</f>
        <v>0</v>
      </c>
    </row>
    <row r="149" ht="24.75" customHeight="1"/>
    <row r="150" spans="2:5" ht="12.75">
      <c r="B150" t="s">
        <v>27</v>
      </c>
      <c r="E150" t="s">
        <v>803</v>
      </c>
    </row>
  </sheetData>
  <mergeCells count="9">
    <mergeCell ref="B15:F15"/>
    <mergeCell ref="E1:G1"/>
    <mergeCell ref="A148:D148"/>
    <mergeCell ref="G7:G8"/>
    <mergeCell ref="D7:D8"/>
    <mergeCell ref="F7:F8"/>
    <mergeCell ref="A7:C7"/>
    <mergeCell ref="E7:E8"/>
    <mergeCell ref="A5:G5"/>
  </mergeCells>
  <printOptions/>
  <pageMargins left="0.5905511811023623" right="0.5905511811023623" top="0.984251968503937" bottom="0.984251968503937" header="0.5118110236220472" footer="0.5118110236220472"/>
  <pageSetup horizontalDpi="600" verticalDpi="600" orientation="portrait" paperSize="9" scale="91" r:id="rId1"/>
  <headerFooter alignWithMargins="0">
    <oddFooter>&amp;CStrona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G80"/>
  <sheetViews>
    <sheetView workbookViewId="0" topLeftCell="A1">
      <selection activeCell="D1" sqref="D1:F1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6.25390625" style="0" customWidth="1"/>
    <col min="4" max="4" width="31.625" style="0" customWidth="1"/>
    <col min="5" max="5" width="16.375" style="0" customWidth="1"/>
    <col min="6" max="6" width="16.875" style="0" customWidth="1"/>
    <col min="7" max="7" width="9.625" style="0" bestFit="1" customWidth="1"/>
  </cols>
  <sheetData>
    <row r="1" spans="4:6" ht="27" customHeight="1">
      <c r="D1" s="527" t="s">
        <v>860</v>
      </c>
      <c r="E1" s="527"/>
      <c r="F1" s="527"/>
    </row>
    <row r="2" spans="5:6" ht="12.75">
      <c r="E2" s="1"/>
      <c r="F2" s="1"/>
    </row>
    <row r="3" spans="1:6" ht="13.5" thickBot="1">
      <c r="A3" s="577" t="s">
        <v>599</v>
      </c>
      <c r="B3" s="577"/>
      <c r="C3" s="577"/>
      <c r="D3" s="577"/>
      <c r="E3" s="577"/>
      <c r="F3" s="577"/>
    </row>
    <row r="4" spans="1:6" ht="13.5" thickBot="1">
      <c r="A4" s="578" t="s">
        <v>327</v>
      </c>
      <c r="B4" s="579"/>
      <c r="C4" s="580"/>
      <c r="D4" s="581" t="s">
        <v>328</v>
      </c>
      <c r="E4" s="583" t="s">
        <v>364</v>
      </c>
      <c r="F4" s="498" t="s">
        <v>330</v>
      </c>
    </row>
    <row r="5" spans="1:6" ht="13.5" thickBot="1">
      <c r="A5" s="273" t="s">
        <v>332</v>
      </c>
      <c r="B5" s="274" t="s">
        <v>333</v>
      </c>
      <c r="C5" s="273" t="s">
        <v>29</v>
      </c>
      <c r="D5" s="582"/>
      <c r="E5" s="584"/>
      <c r="F5" s="585"/>
    </row>
    <row r="6" spans="1:6" ht="13.5" thickBot="1">
      <c r="A6" s="97">
        <v>1</v>
      </c>
      <c r="B6" s="97">
        <v>2</v>
      </c>
      <c r="C6" s="97">
        <v>3</v>
      </c>
      <c r="D6" s="97">
        <v>4</v>
      </c>
      <c r="E6" s="97">
        <v>5</v>
      </c>
      <c r="F6" s="97">
        <v>6</v>
      </c>
    </row>
    <row r="7" spans="1:6" ht="12.75">
      <c r="A7" s="491" t="s">
        <v>74</v>
      </c>
      <c r="B7" s="492" t="s">
        <v>76</v>
      </c>
      <c r="C7" s="493">
        <v>213</v>
      </c>
      <c r="D7" s="200" t="s">
        <v>77</v>
      </c>
      <c r="E7" s="61">
        <v>5400</v>
      </c>
      <c r="F7" s="494">
        <f>F8</f>
        <v>5400</v>
      </c>
    </row>
    <row r="8" spans="1:6" ht="12.75">
      <c r="A8" s="20"/>
      <c r="B8" s="23"/>
      <c r="C8" s="278">
        <v>4300</v>
      </c>
      <c r="D8" s="26" t="s">
        <v>144</v>
      </c>
      <c r="E8" s="25">
        <v>0</v>
      </c>
      <c r="F8" s="279">
        <v>5400</v>
      </c>
    </row>
    <row r="9" spans="1:6" ht="12.75">
      <c r="A9" s="20">
        <v>801</v>
      </c>
      <c r="B9" s="23">
        <v>80195</v>
      </c>
      <c r="C9" s="276">
        <v>213</v>
      </c>
      <c r="D9" s="87" t="s">
        <v>124</v>
      </c>
      <c r="E9" s="23">
        <v>22572</v>
      </c>
      <c r="F9" s="277">
        <f>F10</f>
        <v>22572</v>
      </c>
    </row>
    <row r="10" spans="1:6" ht="12.75">
      <c r="A10" s="20"/>
      <c r="B10" s="20"/>
      <c r="C10" s="278"/>
      <c r="D10" s="26" t="s">
        <v>71</v>
      </c>
      <c r="E10" s="25"/>
      <c r="F10" s="279">
        <v>22572</v>
      </c>
    </row>
    <row r="11" spans="1:6" ht="25.5">
      <c r="A11" s="388">
        <v>853</v>
      </c>
      <c r="B11" s="88">
        <v>85301</v>
      </c>
      <c r="C11" s="276">
        <v>213</v>
      </c>
      <c r="D11" s="89" t="s">
        <v>365</v>
      </c>
      <c r="E11" s="276">
        <v>691191</v>
      </c>
      <c r="F11" s="280">
        <f>F12+F13+F14+F15+F16+F17+F18+F19+F21+F22+F23+F24+F25+F26+F27+F20</f>
        <v>691191</v>
      </c>
    </row>
    <row r="12" spans="1:7" ht="25.5">
      <c r="A12" s="281"/>
      <c r="B12" s="88"/>
      <c r="C12" s="282">
        <v>4010</v>
      </c>
      <c r="D12" s="283" t="s">
        <v>49</v>
      </c>
      <c r="E12" s="278">
        <v>0</v>
      </c>
      <c r="F12" s="284">
        <v>299320</v>
      </c>
      <c r="G12" s="346"/>
    </row>
    <row r="13" spans="1:7" ht="12.75">
      <c r="A13" s="285"/>
      <c r="B13" s="286"/>
      <c r="C13" s="282">
        <v>4040</v>
      </c>
      <c r="D13" s="283" t="s">
        <v>347</v>
      </c>
      <c r="E13" s="278">
        <v>0</v>
      </c>
      <c r="F13" s="284">
        <v>29155</v>
      </c>
      <c r="G13" s="346"/>
    </row>
    <row r="14" spans="1:6" ht="12.75">
      <c r="A14" s="285"/>
      <c r="B14" s="286"/>
      <c r="C14" s="287">
        <v>4110</v>
      </c>
      <c r="D14" s="283" t="s">
        <v>111</v>
      </c>
      <c r="E14" s="278">
        <v>0</v>
      </c>
      <c r="F14" s="284">
        <v>58730</v>
      </c>
    </row>
    <row r="15" spans="1:6" ht="12.75">
      <c r="A15" s="285"/>
      <c r="B15" s="286"/>
      <c r="C15" s="287">
        <v>4120</v>
      </c>
      <c r="D15" s="283" t="s">
        <v>57</v>
      </c>
      <c r="E15" s="278">
        <v>0</v>
      </c>
      <c r="F15" s="284">
        <v>8050</v>
      </c>
    </row>
    <row r="16" spans="1:6" ht="12.75">
      <c r="A16" s="285"/>
      <c r="B16" s="286"/>
      <c r="C16" s="282">
        <v>3020</v>
      </c>
      <c r="D16" s="283" t="s">
        <v>600</v>
      </c>
      <c r="E16" s="278">
        <v>0</v>
      </c>
      <c r="F16" s="284">
        <v>2952</v>
      </c>
    </row>
    <row r="17" spans="1:6" ht="12.75">
      <c r="A17" s="285"/>
      <c r="B17" s="286"/>
      <c r="C17" s="282">
        <v>3110</v>
      </c>
      <c r="D17" s="283" t="s">
        <v>251</v>
      </c>
      <c r="E17" s="278">
        <v>0</v>
      </c>
      <c r="F17" s="284">
        <v>134655</v>
      </c>
    </row>
    <row r="18" spans="1:6" ht="12.75">
      <c r="A18" s="285"/>
      <c r="B18" s="286"/>
      <c r="C18" s="282">
        <v>4210</v>
      </c>
      <c r="D18" s="283" t="s">
        <v>59</v>
      </c>
      <c r="E18" s="278">
        <v>0</v>
      </c>
      <c r="F18" s="284">
        <v>20363</v>
      </c>
    </row>
    <row r="19" spans="1:6" ht="12.75">
      <c r="A19" s="285"/>
      <c r="B19" s="286"/>
      <c r="C19" s="282">
        <v>4220</v>
      </c>
      <c r="D19" s="283" t="s">
        <v>139</v>
      </c>
      <c r="E19" s="278">
        <v>0</v>
      </c>
      <c r="F19" s="284">
        <v>50136</v>
      </c>
    </row>
    <row r="20" spans="1:6" ht="12.75">
      <c r="A20" s="285"/>
      <c r="B20" s="286"/>
      <c r="C20" s="282">
        <v>4230</v>
      </c>
      <c r="D20" s="283" t="s">
        <v>603</v>
      </c>
      <c r="E20" s="278">
        <v>0</v>
      </c>
      <c r="F20" s="284">
        <v>1500</v>
      </c>
    </row>
    <row r="21" spans="1:6" ht="12.75">
      <c r="A21" s="285"/>
      <c r="B21" s="286"/>
      <c r="C21" s="282">
        <v>4240</v>
      </c>
      <c r="D21" s="283" t="s">
        <v>601</v>
      </c>
      <c r="E21" s="278">
        <v>0</v>
      </c>
      <c r="F21" s="284">
        <v>0</v>
      </c>
    </row>
    <row r="22" spans="1:6" ht="12.75">
      <c r="A22" s="285"/>
      <c r="B22" s="286"/>
      <c r="C22" s="282">
        <v>4260</v>
      </c>
      <c r="D22" s="283" t="s">
        <v>142</v>
      </c>
      <c r="E22" s="278">
        <v>0</v>
      </c>
      <c r="F22" s="284">
        <v>63330</v>
      </c>
    </row>
    <row r="23" spans="1:6" ht="12.75">
      <c r="A23" s="285"/>
      <c r="B23" s="286"/>
      <c r="C23" s="282">
        <v>4300</v>
      </c>
      <c r="D23" s="283" t="s">
        <v>144</v>
      </c>
      <c r="E23" s="278">
        <v>0</v>
      </c>
      <c r="F23" s="284">
        <v>8500</v>
      </c>
    </row>
    <row r="24" spans="1:6" ht="12.75">
      <c r="A24" s="285"/>
      <c r="B24" s="286"/>
      <c r="C24" s="282">
        <v>4410</v>
      </c>
      <c r="D24" s="283" t="s">
        <v>67</v>
      </c>
      <c r="E24" s="278">
        <v>0</v>
      </c>
      <c r="F24" s="284">
        <v>500</v>
      </c>
    </row>
    <row r="25" spans="1:6" ht="12.75">
      <c r="A25" s="285"/>
      <c r="B25" s="286"/>
      <c r="C25" s="282">
        <v>4430</v>
      </c>
      <c r="D25" s="283" t="s">
        <v>69</v>
      </c>
      <c r="E25" s="278">
        <v>0</v>
      </c>
      <c r="F25" s="284">
        <v>0</v>
      </c>
    </row>
    <row r="26" spans="1:6" ht="12.75">
      <c r="A26" s="285"/>
      <c r="B26" s="286"/>
      <c r="C26" s="282">
        <v>4440</v>
      </c>
      <c r="D26" s="283" t="s">
        <v>71</v>
      </c>
      <c r="E26" s="278">
        <v>0</v>
      </c>
      <c r="F26" s="284">
        <v>14000</v>
      </c>
    </row>
    <row r="27" spans="1:6" ht="25.5">
      <c r="A27" s="90"/>
      <c r="B27" s="61"/>
      <c r="C27" s="282">
        <v>2830</v>
      </c>
      <c r="D27" s="283" t="s">
        <v>602</v>
      </c>
      <c r="E27" s="278">
        <v>0</v>
      </c>
      <c r="F27" s="284">
        <v>0</v>
      </c>
    </row>
    <row r="28" spans="1:6" ht="12.75">
      <c r="A28" s="286">
        <v>853</v>
      </c>
      <c r="B28" s="286">
        <v>85302</v>
      </c>
      <c r="C28" s="23">
        <v>213</v>
      </c>
      <c r="D28" s="89" t="s">
        <v>257</v>
      </c>
      <c r="E28" s="276">
        <v>559000</v>
      </c>
      <c r="F28" s="280">
        <f>F29+F30+F31+F33+F32+F34+F35+F36+F37+F38+F39+F40+F41+F42+F43+F44+F45</f>
        <v>559000</v>
      </c>
    </row>
    <row r="29" spans="1:6" ht="25.5">
      <c r="A29" s="281"/>
      <c r="B29" s="88"/>
      <c r="C29" s="282">
        <v>4010</v>
      </c>
      <c r="D29" s="283" t="s">
        <v>49</v>
      </c>
      <c r="E29" s="278">
        <v>0</v>
      </c>
      <c r="F29" s="284">
        <v>281041</v>
      </c>
    </row>
    <row r="30" spans="1:6" ht="12.75">
      <c r="A30" s="285"/>
      <c r="B30" s="286"/>
      <c r="C30" s="282">
        <v>4040</v>
      </c>
      <c r="D30" s="283" t="s">
        <v>347</v>
      </c>
      <c r="E30" s="278">
        <v>0</v>
      </c>
      <c r="F30" s="284">
        <v>20659</v>
      </c>
    </row>
    <row r="31" spans="1:6" ht="12.75">
      <c r="A31" s="285"/>
      <c r="B31" s="286"/>
      <c r="C31" s="287">
        <v>4110</v>
      </c>
      <c r="D31" s="283" t="s">
        <v>122</v>
      </c>
      <c r="E31" s="278">
        <v>0</v>
      </c>
      <c r="F31" s="284">
        <v>58715</v>
      </c>
    </row>
    <row r="32" spans="1:6" ht="12.75">
      <c r="A32" s="285"/>
      <c r="B32" s="286"/>
      <c r="C32" s="287">
        <v>4120</v>
      </c>
      <c r="D32" s="283" t="s">
        <v>57</v>
      </c>
      <c r="E32" s="278">
        <v>0</v>
      </c>
      <c r="F32" s="284">
        <v>7075</v>
      </c>
    </row>
    <row r="33" spans="1:6" ht="12.75">
      <c r="A33" s="285"/>
      <c r="B33" s="286"/>
      <c r="C33" s="288">
        <v>3020</v>
      </c>
      <c r="D33" s="283" t="s">
        <v>600</v>
      </c>
      <c r="E33" s="278">
        <v>0</v>
      </c>
      <c r="F33" s="284">
        <v>0</v>
      </c>
    </row>
    <row r="34" spans="1:6" ht="12.75">
      <c r="A34" s="285"/>
      <c r="B34" s="286"/>
      <c r="C34" s="288">
        <v>3030</v>
      </c>
      <c r="D34" s="283" t="s">
        <v>251</v>
      </c>
      <c r="E34" s="278">
        <v>0</v>
      </c>
      <c r="F34" s="284">
        <v>0</v>
      </c>
    </row>
    <row r="35" spans="1:6" ht="12.75">
      <c r="A35" s="90"/>
      <c r="B35" s="61"/>
      <c r="C35" s="288">
        <v>4410</v>
      </c>
      <c r="D35" s="283" t="s">
        <v>67</v>
      </c>
      <c r="E35" s="278">
        <v>0</v>
      </c>
      <c r="F35" s="284">
        <v>764</v>
      </c>
    </row>
    <row r="36" spans="1:6" ht="12.75">
      <c r="A36" s="281"/>
      <c r="B36" s="88"/>
      <c r="C36" s="288">
        <v>4210</v>
      </c>
      <c r="D36" s="283" t="s">
        <v>59</v>
      </c>
      <c r="E36" s="278">
        <v>0</v>
      </c>
      <c r="F36" s="284">
        <v>13368</v>
      </c>
    </row>
    <row r="37" spans="1:6" ht="12.75">
      <c r="A37" s="285"/>
      <c r="B37" s="286"/>
      <c r="C37" s="289">
        <v>4220</v>
      </c>
      <c r="D37" s="290" t="s">
        <v>139</v>
      </c>
      <c r="E37" s="291">
        <v>0</v>
      </c>
      <c r="F37" s="292">
        <v>70844</v>
      </c>
    </row>
    <row r="38" spans="1:6" ht="12.75">
      <c r="A38" s="23"/>
      <c r="B38" s="23"/>
      <c r="C38" s="25">
        <v>4230</v>
      </c>
      <c r="D38" s="283" t="s">
        <v>603</v>
      </c>
      <c r="E38" s="278">
        <v>0</v>
      </c>
      <c r="F38" s="284">
        <v>4431</v>
      </c>
    </row>
    <row r="39" spans="1:6" ht="12.75">
      <c r="A39" s="23"/>
      <c r="B39" s="23"/>
      <c r="C39" s="25">
        <v>4260</v>
      </c>
      <c r="D39" s="283" t="s">
        <v>142</v>
      </c>
      <c r="E39" s="278">
        <v>0</v>
      </c>
      <c r="F39" s="284">
        <v>71007</v>
      </c>
    </row>
    <row r="40" spans="1:6" ht="12.75">
      <c r="A40" s="285"/>
      <c r="B40" s="286"/>
      <c r="C40" s="293">
        <v>4270</v>
      </c>
      <c r="D40" s="294" t="s">
        <v>143</v>
      </c>
      <c r="E40" s="295">
        <v>0</v>
      </c>
      <c r="F40" s="296">
        <v>0</v>
      </c>
    </row>
    <row r="41" spans="1:6" ht="12.75">
      <c r="A41" s="285"/>
      <c r="B41" s="286"/>
      <c r="C41" s="288">
        <v>4300</v>
      </c>
      <c r="D41" s="283" t="s">
        <v>144</v>
      </c>
      <c r="E41" s="278">
        <v>0</v>
      </c>
      <c r="F41" s="284">
        <v>17567</v>
      </c>
    </row>
    <row r="42" spans="1:6" ht="12.75">
      <c r="A42" s="285"/>
      <c r="B42" s="286"/>
      <c r="C42" s="288">
        <v>4430</v>
      </c>
      <c r="D42" s="283" t="s">
        <v>69</v>
      </c>
      <c r="E42" s="278">
        <v>0</v>
      </c>
      <c r="F42" s="284">
        <v>1604</v>
      </c>
    </row>
    <row r="43" spans="1:6" ht="12.75">
      <c r="A43" s="285"/>
      <c r="B43" s="286"/>
      <c r="C43" s="288">
        <v>4440</v>
      </c>
      <c r="D43" s="283" t="s">
        <v>71</v>
      </c>
      <c r="E43" s="278">
        <v>0</v>
      </c>
      <c r="F43" s="284">
        <v>10696</v>
      </c>
    </row>
    <row r="44" spans="1:6" ht="12.75">
      <c r="A44" s="285"/>
      <c r="B44" s="286"/>
      <c r="C44" s="288">
        <v>4480</v>
      </c>
      <c r="D44" s="283" t="s">
        <v>87</v>
      </c>
      <c r="E44" s="278">
        <v>0</v>
      </c>
      <c r="F44" s="284">
        <v>802</v>
      </c>
    </row>
    <row r="45" spans="1:6" ht="12.75">
      <c r="A45" s="90"/>
      <c r="B45" s="61"/>
      <c r="C45" s="288">
        <v>4520</v>
      </c>
      <c r="D45" s="283" t="s">
        <v>355</v>
      </c>
      <c r="E45" s="278">
        <v>0</v>
      </c>
      <c r="F45" s="284">
        <v>427</v>
      </c>
    </row>
    <row r="46" spans="1:6" ht="12.75">
      <c r="A46" s="61">
        <v>853</v>
      </c>
      <c r="B46" s="61">
        <v>85304</v>
      </c>
      <c r="C46" s="23">
        <v>213</v>
      </c>
      <c r="D46" s="89" t="s">
        <v>366</v>
      </c>
      <c r="E46" s="276">
        <v>416714</v>
      </c>
      <c r="F46" s="280">
        <f>F47</f>
        <v>416714</v>
      </c>
    </row>
    <row r="47" spans="1:6" ht="12.75">
      <c r="A47" s="23"/>
      <c r="B47" s="23"/>
      <c r="C47" s="91">
        <v>3110</v>
      </c>
      <c r="D47" s="283" t="s">
        <v>251</v>
      </c>
      <c r="E47" s="278">
        <v>0</v>
      </c>
      <c r="F47" s="284">
        <v>416714</v>
      </c>
    </row>
    <row r="48" spans="1:6" ht="12.75">
      <c r="A48" s="23">
        <v>853</v>
      </c>
      <c r="B48" s="23">
        <v>85326</v>
      </c>
      <c r="C48" s="20">
        <v>213</v>
      </c>
      <c r="D48" s="89" t="s">
        <v>604</v>
      </c>
      <c r="E48" s="276">
        <v>47286</v>
      </c>
      <c r="F48" s="280">
        <f>F54+F49+F50+F51+F52+F55+F56+F53</f>
        <v>47286</v>
      </c>
    </row>
    <row r="49" spans="1:6" ht="25.5">
      <c r="A49" s="25"/>
      <c r="B49" s="25"/>
      <c r="C49" s="282">
        <v>4010</v>
      </c>
      <c r="D49" s="283" t="s">
        <v>49</v>
      </c>
      <c r="E49" s="278">
        <v>0</v>
      </c>
      <c r="F49" s="284">
        <v>28440</v>
      </c>
    </row>
    <row r="50" spans="1:6" ht="12.75">
      <c r="A50" s="25"/>
      <c r="B50" s="25"/>
      <c r="C50" s="282">
        <v>4040</v>
      </c>
      <c r="D50" s="283" t="s">
        <v>347</v>
      </c>
      <c r="E50" s="278">
        <v>0</v>
      </c>
      <c r="F50" s="284">
        <v>2344</v>
      </c>
    </row>
    <row r="51" spans="1:6" ht="12.75">
      <c r="A51" s="25"/>
      <c r="B51" s="25"/>
      <c r="C51" s="282">
        <v>4110</v>
      </c>
      <c r="D51" s="283" t="s">
        <v>122</v>
      </c>
      <c r="E51" s="278">
        <v>0</v>
      </c>
      <c r="F51" s="284">
        <v>5506</v>
      </c>
    </row>
    <row r="52" spans="1:6" ht="12.75">
      <c r="A52" s="25"/>
      <c r="B52" s="25"/>
      <c r="C52" s="282">
        <v>4120</v>
      </c>
      <c r="D52" s="283" t="s">
        <v>57</v>
      </c>
      <c r="E52" s="278">
        <v>0</v>
      </c>
      <c r="F52" s="284">
        <v>755</v>
      </c>
    </row>
    <row r="53" spans="1:6" ht="12.75">
      <c r="A53" s="25"/>
      <c r="B53" s="25"/>
      <c r="C53" s="282">
        <v>4210</v>
      </c>
      <c r="D53" s="283" t="s">
        <v>59</v>
      </c>
      <c r="E53" s="278">
        <v>0</v>
      </c>
      <c r="F53" s="284">
        <v>2361</v>
      </c>
    </row>
    <row r="54" spans="1:6" ht="12.75">
      <c r="A54" s="23"/>
      <c r="B54" s="23"/>
      <c r="C54" s="282">
        <v>4300</v>
      </c>
      <c r="D54" s="283" t="s">
        <v>144</v>
      </c>
      <c r="E54" s="278">
        <v>0</v>
      </c>
      <c r="F54" s="284">
        <v>5560</v>
      </c>
    </row>
    <row r="55" spans="1:6" ht="12.75">
      <c r="A55" s="23"/>
      <c r="B55" s="23"/>
      <c r="C55" s="282">
        <v>4410</v>
      </c>
      <c r="D55" s="283" t="s">
        <v>67</v>
      </c>
      <c r="E55" s="278">
        <v>0</v>
      </c>
      <c r="F55" s="284">
        <v>1000</v>
      </c>
    </row>
    <row r="56" spans="1:6" ht="12.75">
      <c r="A56" s="23"/>
      <c r="B56" s="23"/>
      <c r="C56" s="282">
        <v>4440</v>
      </c>
      <c r="D56" s="283" t="s">
        <v>71</v>
      </c>
      <c r="E56" s="278">
        <v>0</v>
      </c>
      <c r="F56" s="284">
        <v>1320</v>
      </c>
    </row>
    <row r="57" spans="1:6" ht="12.75">
      <c r="A57" s="297">
        <v>853</v>
      </c>
      <c r="B57" s="297">
        <v>85333</v>
      </c>
      <c r="C57" s="10">
        <v>213</v>
      </c>
      <c r="D57" s="7" t="s">
        <v>278</v>
      </c>
      <c r="E57" s="298">
        <v>109494</v>
      </c>
      <c r="F57" s="12">
        <f>F58+F59+F60+F62+F61+F63+F64+F65+F66+F67+F68</f>
        <v>109494</v>
      </c>
    </row>
    <row r="58" spans="1:6" ht="25.5">
      <c r="A58" s="281"/>
      <c r="B58" s="88"/>
      <c r="C58" s="282">
        <v>4010</v>
      </c>
      <c r="D58" s="283" t="s">
        <v>49</v>
      </c>
      <c r="E58" s="278">
        <v>0</v>
      </c>
      <c r="F58" s="284">
        <v>73661</v>
      </c>
    </row>
    <row r="59" spans="1:6" ht="12.75">
      <c r="A59" s="285"/>
      <c r="B59" s="286"/>
      <c r="C59" s="282">
        <v>4040</v>
      </c>
      <c r="D59" s="283" t="s">
        <v>347</v>
      </c>
      <c r="E59" s="278">
        <v>0</v>
      </c>
      <c r="F59" s="284">
        <v>6041</v>
      </c>
    </row>
    <row r="60" spans="1:6" ht="12.75">
      <c r="A60" s="285"/>
      <c r="B60" s="286"/>
      <c r="C60" s="287">
        <v>4110</v>
      </c>
      <c r="D60" s="283" t="s">
        <v>122</v>
      </c>
      <c r="E60" s="278">
        <v>0</v>
      </c>
      <c r="F60" s="284">
        <v>13949</v>
      </c>
    </row>
    <row r="61" spans="1:6" ht="12.75">
      <c r="A61" s="285"/>
      <c r="B61" s="286"/>
      <c r="C61" s="287">
        <v>4120</v>
      </c>
      <c r="D61" s="283" t="s">
        <v>57</v>
      </c>
      <c r="E61" s="278">
        <v>0</v>
      </c>
      <c r="F61" s="284">
        <v>2215</v>
      </c>
    </row>
    <row r="62" spans="1:6" ht="12.75">
      <c r="A62" s="285"/>
      <c r="B62" s="286"/>
      <c r="C62" s="288">
        <v>4210</v>
      </c>
      <c r="D62" s="283" t="s">
        <v>59</v>
      </c>
      <c r="E62" s="278">
        <v>0</v>
      </c>
      <c r="F62" s="284">
        <v>1892</v>
      </c>
    </row>
    <row r="63" spans="1:6" ht="12.75">
      <c r="A63" s="285"/>
      <c r="B63" s="286"/>
      <c r="C63" s="288">
        <v>4260</v>
      </c>
      <c r="D63" s="283" t="s">
        <v>142</v>
      </c>
      <c r="E63" s="278">
        <v>0</v>
      </c>
      <c r="F63" s="284">
        <v>4175</v>
      </c>
    </row>
    <row r="64" spans="1:6" ht="12.75">
      <c r="A64" s="285"/>
      <c r="B64" s="286"/>
      <c r="C64" s="288">
        <v>4300</v>
      </c>
      <c r="D64" s="283" t="s">
        <v>144</v>
      </c>
      <c r="E64" s="278">
        <v>0</v>
      </c>
      <c r="F64" s="284">
        <v>4007</v>
      </c>
    </row>
    <row r="65" spans="1:6" ht="12.75">
      <c r="A65" s="285"/>
      <c r="B65" s="286"/>
      <c r="C65" s="288">
        <v>4410</v>
      </c>
      <c r="D65" s="283" t="s">
        <v>67</v>
      </c>
      <c r="E65" s="278">
        <v>0</v>
      </c>
      <c r="F65" s="284">
        <v>239</v>
      </c>
    </row>
    <row r="66" spans="1:6" ht="12.75">
      <c r="A66" s="285"/>
      <c r="B66" s="286"/>
      <c r="C66" s="288">
        <v>4430</v>
      </c>
      <c r="D66" s="283" t="s">
        <v>69</v>
      </c>
      <c r="E66" s="278">
        <v>0</v>
      </c>
      <c r="F66" s="284">
        <v>383</v>
      </c>
    </row>
    <row r="67" spans="1:6" ht="12.75">
      <c r="A67" s="285"/>
      <c r="B67" s="286"/>
      <c r="C67" s="288">
        <v>4440</v>
      </c>
      <c r="D67" s="283" t="s">
        <v>71</v>
      </c>
      <c r="E67" s="278">
        <v>0</v>
      </c>
      <c r="F67" s="284">
        <v>2628</v>
      </c>
    </row>
    <row r="68" spans="1:6" ht="12.75">
      <c r="A68" s="90"/>
      <c r="B68" s="61"/>
      <c r="C68" s="288">
        <v>4480</v>
      </c>
      <c r="D68" s="283" t="s">
        <v>87</v>
      </c>
      <c r="E68" s="278">
        <v>0</v>
      </c>
      <c r="F68" s="284">
        <v>304</v>
      </c>
    </row>
    <row r="69" spans="1:6" ht="12.75">
      <c r="A69" s="61">
        <v>853</v>
      </c>
      <c r="B69" s="61">
        <v>85395</v>
      </c>
      <c r="C69" s="23">
        <v>213</v>
      </c>
      <c r="D69" s="89" t="s">
        <v>124</v>
      </c>
      <c r="E69" s="276">
        <v>2397</v>
      </c>
      <c r="F69" s="280">
        <f>F70</f>
        <v>2397</v>
      </c>
    </row>
    <row r="70" spans="1:6" ht="12.75">
      <c r="A70" s="23"/>
      <c r="B70" s="23"/>
      <c r="C70" s="25">
        <v>4440</v>
      </c>
      <c r="D70" s="283" t="s">
        <v>71</v>
      </c>
      <c r="E70" s="278">
        <v>0</v>
      </c>
      <c r="F70" s="284">
        <v>2397</v>
      </c>
    </row>
    <row r="71" spans="1:6" ht="12.75">
      <c r="A71" s="23">
        <v>854</v>
      </c>
      <c r="B71" s="23">
        <v>85495</v>
      </c>
      <c r="C71" s="23">
        <v>213</v>
      </c>
      <c r="D71" s="89" t="s">
        <v>124</v>
      </c>
      <c r="E71" s="276">
        <v>8887</v>
      </c>
      <c r="F71" s="280">
        <f>F72</f>
        <v>8887</v>
      </c>
    </row>
    <row r="72" spans="1:6" ht="12.75">
      <c r="A72" s="23"/>
      <c r="B72" s="23"/>
      <c r="C72" s="25">
        <v>4440</v>
      </c>
      <c r="D72" s="283" t="s">
        <v>71</v>
      </c>
      <c r="E72" s="278">
        <v>0</v>
      </c>
      <c r="F72" s="284">
        <v>8887</v>
      </c>
    </row>
    <row r="73" spans="1:6" ht="18.75" customHeight="1">
      <c r="A73" s="574" t="s">
        <v>605</v>
      </c>
      <c r="B73" s="575"/>
      <c r="C73" s="575"/>
      <c r="D73" s="576"/>
      <c r="E73" s="299">
        <f>E7+E9+E11+E28+E46+E48+E57+E69+E71</f>
        <v>1862941</v>
      </c>
      <c r="F73" s="299">
        <f>F7+F9+F11+F28+F46+F48+F57+F69+F71</f>
        <v>1862941</v>
      </c>
    </row>
    <row r="74" ht="12.75">
      <c r="C74" s="300"/>
    </row>
    <row r="75" ht="12.75">
      <c r="C75" s="300"/>
    </row>
    <row r="76" spans="1:6" ht="32.25" customHeight="1">
      <c r="A76" s="573" t="s">
        <v>14</v>
      </c>
      <c r="B76" s="573"/>
      <c r="C76" s="573"/>
      <c r="D76" s="573"/>
      <c r="E76" s="573"/>
      <c r="F76" s="573"/>
    </row>
    <row r="77" ht="12.75">
      <c r="C77" s="300"/>
    </row>
    <row r="78" ht="12.75">
      <c r="C78" s="300"/>
    </row>
    <row r="79" ht="12.75">
      <c r="C79" s="300"/>
    </row>
    <row r="80" ht="12.75">
      <c r="C80" s="300"/>
    </row>
  </sheetData>
  <mergeCells count="8">
    <mergeCell ref="A76:F76"/>
    <mergeCell ref="D1:F1"/>
    <mergeCell ref="A73:D73"/>
    <mergeCell ref="A3:F3"/>
    <mergeCell ref="A4:C4"/>
    <mergeCell ref="D4:D5"/>
    <mergeCell ref="E4:E5"/>
    <mergeCell ref="F4:F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49"/>
  <sheetViews>
    <sheetView workbookViewId="0" topLeftCell="A1">
      <selection activeCell="C1" sqref="C1:F1"/>
    </sheetView>
  </sheetViews>
  <sheetFormatPr defaultColWidth="9.00390625" defaultRowHeight="12.75"/>
  <cols>
    <col min="1" max="1" width="6.375" style="0" customWidth="1"/>
    <col min="2" max="2" width="9.00390625" style="0" customWidth="1"/>
    <col min="3" max="3" width="8.875" style="0" customWidth="1"/>
    <col min="4" max="4" width="28.125" style="0" customWidth="1"/>
    <col min="5" max="5" width="15.625" style="0" customWidth="1"/>
    <col min="6" max="6" width="18.125" style="0" customWidth="1"/>
  </cols>
  <sheetData>
    <row r="1" spans="3:6" ht="32.25" customHeight="1">
      <c r="C1" s="586" t="s">
        <v>0</v>
      </c>
      <c r="D1" s="586"/>
      <c r="E1" s="586"/>
      <c r="F1" s="586"/>
    </row>
    <row r="2" spans="1:6" ht="28.5" customHeight="1">
      <c r="A2" s="587" t="s">
        <v>367</v>
      </c>
      <c r="B2" s="587"/>
      <c r="C2" s="587"/>
      <c r="D2" s="587"/>
      <c r="E2" s="587"/>
      <c r="F2" s="587"/>
    </row>
    <row r="3" spans="1:6" ht="12" customHeight="1">
      <c r="A3" s="588" t="s">
        <v>327</v>
      </c>
      <c r="B3" s="588"/>
      <c r="C3" s="588"/>
      <c r="D3" s="528" t="s">
        <v>328</v>
      </c>
      <c r="E3" s="528" t="s">
        <v>364</v>
      </c>
      <c r="F3" s="528" t="s">
        <v>330</v>
      </c>
    </row>
    <row r="4" spans="1:6" ht="15" customHeight="1">
      <c r="A4" s="20" t="s">
        <v>332</v>
      </c>
      <c r="B4" s="20" t="s">
        <v>333</v>
      </c>
      <c r="C4" s="20" t="s">
        <v>29</v>
      </c>
      <c r="D4" s="528"/>
      <c r="E4" s="528"/>
      <c r="F4" s="528"/>
    </row>
    <row r="5" spans="1:6" ht="11.25" customHeight="1">
      <c r="A5" s="326">
        <v>1</v>
      </c>
      <c r="B5" s="326">
        <v>2</v>
      </c>
      <c r="C5" s="326">
        <v>3</v>
      </c>
      <c r="D5" s="326">
        <v>4</v>
      </c>
      <c r="E5" s="326">
        <v>5</v>
      </c>
      <c r="F5" s="326">
        <v>6</v>
      </c>
    </row>
    <row r="6" spans="1:6" ht="15.75" customHeight="1">
      <c r="A6" s="20">
        <v>600</v>
      </c>
      <c r="B6" s="20">
        <v>60014</v>
      </c>
      <c r="C6" s="20">
        <v>231</v>
      </c>
      <c r="D6" s="20" t="s">
        <v>813</v>
      </c>
      <c r="E6" s="20">
        <f>E8+E9+E10</f>
        <v>60000</v>
      </c>
      <c r="F6" s="91">
        <f>F8+F9+F10</f>
        <v>40000</v>
      </c>
    </row>
    <row r="7" spans="1:6" ht="15.75" customHeight="1">
      <c r="A7" s="91"/>
      <c r="B7" s="91"/>
      <c r="C7" s="91"/>
      <c r="D7" s="26" t="s">
        <v>368</v>
      </c>
      <c r="E7" s="91"/>
      <c r="F7" s="91"/>
    </row>
    <row r="8" spans="1:6" ht="15.75" customHeight="1">
      <c r="A8" s="91"/>
      <c r="B8" s="91"/>
      <c r="C8" s="91"/>
      <c r="D8" s="26" t="s">
        <v>819</v>
      </c>
      <c r="E8" s="91">
        <v>50000</v>
      </c>
      <c r="F8" s="91">
        <v>0</v>
      </c>
    </row>
    <row r="9" spans="1:6" ht="15.75" customHeight="1">
      <c r="A9" s="91"/>
      <c r="B9" s="91"/>
      <c r="C9" s="91"/>
      <c r="D9" s="26" t="s">
        <v>821</v>
      </c>
      <c r="E9" s="91">
        <v>10000</v>
      </c>
      <c r="F9" s="91">
        <v>0</v>
      </c>
    </row>
    <row r="10" spans="1:6" ht="15.75" customHeight="1">
      <c r="A10" s="91"/>
      <c r="B10" s="91"/>
      <c r="C10" s="20">
        <v>2310</v>
      </c>
      <c r="D10" s="26" t="s">
        <v>820</v>
      </c>
      <c r="E10" s="91">
        <v>0</v>
      </c>
      <c r="F10" s="91">
        <v>40000</v>
      </c>
    </row>
    <row r="11" spans="1:6" ht="13.5" customHeight="1">
      <c r="A11" s="20">
        <v>600</v>
      </c>
      <c r="B11" s="20">
        <v>60014</v>
      </c>
      <c r="C11" s="20">
        <v>661</v>
      </c>
      <c r="D11" s="20" t="s">
        <v>813</v>
      </c>
      <c r="E11" s="20">
        <f>E13+E14</f>
        <v>50000</v>
      </c>
      <c r="F11" s="20">
        <v>0</v>
      </c>
    </row>
    <row r="12" spans="1:6" ht="15" customHeight="1">
      <c r="A12" s="91"/>
      <c r="B12" s="91"/>
      <c r="C12" s="91"/>
      <c r="D12" s="26" t="s">
        <v>368</v>
      </c>
      <c r="E12" s="91"/>
      <c r="F12" s="91"/>
    </row>
    <row r="13" spans="1:6" ht="15" customHeight="1">
      <c r="A13" s="26"/>
      <c r="B13" s="26"/>
      <c r="C13" s="26"/>
      <c r="D13" s="26" t="s">
        <v>820</v>
      </c>
      <c r="E13" s="91">
        <v>35000</v>
      </c>
      <c r="F13" s="91">
        <v>0</v>
      </c>
    </row>
    <row r="14" spans="1:6" ht="15" customHeight="1">
      <c r="A14" s="26"/>
      <c r="B14" s="26"/>
      <c r="C14" s="26"/>
      <c r="D14" s="26" t="s">
        <v>821</v>
      </c>
      <c r="E14" s="91">
        <v>15000</v>
      </c>
      <c r="F14" s="91">
        <v>0</v>
      </c>
    </row>
    <row r="15" spans="1:6" ht="15" customHeight="1">
      <c r="A15" s="87">
        <v>600</v>
      </c>
      <c r="B15" s="87">
        <v>60014</v>
      </c>
      <c r="C15" s="87">
        <v>6610</v>
      </c>
      <c r="D15" s="20" t="s">
        <v>813</v>
      </c>
      <c r="E15" s="91">
        <f>E17</f>
        <v>0</v>
      </c>
      <c r="F15" s="20">
        <f>F17</f>
        <v>30892</v>
      </c>
    </row>
    <row r="16" spans="1:6" ht="15" customHeight="1">
      <c r="A16" s="26"/>
      <c r="B16" s="26"/>
      <c r="C16" s="26"/>
      <c r="D16" s="26" t="s">
        <v>368</v>
      </c>
      <c r="E16" s="91"/>
      <c r="F16" s="91"/>
    </row>
    <row r="17" spans="1:6" ht="15" customHeight="1">
      <c r="A17" s="26"/>
      <c r="B17" s="26"/>
      <c r="C17" s="26"/>
      <c r="D17" s="26" t="s">
        <v>820</v>
      </c>
      <c r="E17" s="91">
        <v>0</v>
      </c>
      <c r="F17" s="91">
        <v>30892</v>
      </c>
    </row>
    <row r="18" spans="1:6" ht="15.75" customHeight="1">
      <c r="A18" s="20">
        <v>630</v>
      </c>
      <c r="B18" s="20">
        <v>63001</v>
      </c>
      <c r="C18" s="20">
        <v>662</v>
      </c>
      <c r="D18" s="20" t="s">
        <v>796</v>
      </c>
      <c r="E18" s="20">
        <f>E20</f>
        <v>44390</v>
      </c>
      <c r="F18" s="20">
        <v>0</v>
      </c>
    </row>
    <row r="19" spans="1:6" ht="15.75" customHeight="1">
      <c r="A19" s="91"/>
      <c r="B19" s="91"/>
      <c r="C19" s="91"/>
      <c r="D19" s="26" t="s">
        <v>368</v>
      </c>
      <c r="E19" s="91"/>
      <c r="F19" s="91">
        <v>0</v>
      </c>
    </row>
    <row r="20" spans="1:6" ht="26.25" customHeight="1">
      <c r="A20" s="91"/>
      <c r="B20" s="91"/>
      <c r="C20" s="91"/>
      <c r="D20" s="283" t="s">
        <v>805</v>
      </c>
      <c r="E20" s="91">
        <v>44390</v>
      </c>
      <c r="F20" s="91">
        <v>0</v>
      </c>
    </row>
    <row r="21" spans="1:6" ht="17.25" customHeight="1">
      <c r="A21" s="20">
        <v>630</v>
      </c>
      <c r="B21" s="20">
        <v>63001</v>
      </c>
      <c r="C21" s="20">
        <v>6610</v>
      </c>
      <c r="D21" s="20" t="s">
        <v>796</v>
      </c>
      <c r="E21" s="91">
        <v>0</v>
      </c>
      <c r="F21" s="20">
        <f>F23</f>
        <v>44390</v>
      </c>
    </row>
    <row r="22" spans="1:6" ht="16.5" customHeight="1">
      <c r="A22" s="91"/>
      <c r="B22" s="91"/>
      <c r="C22" s="91"/>
      <c r="D22" s="26" t="s">
        <v>368</v>
      </c>
      <c r="E22" s="91">
        <v>0</v>
      </c>
      <c r="F22" s="91"/>
    </row>
    <row r="23" spans="1:6" ht="18.75" customHeight="1">
      <c r="A23" s="91"/>
      <c r="B23" s="91"/>
      <c r="C23" s="91"/>
      <c r="D23" s="283" t="s">
        <v>820</v>
      </c>
      <c r="E23" s="91">
        <v>0</v>
      </c>
      <c r="F23" s="91">
        <v>44390</v>
      </c>
    </row>
    <row r="24" spans="1:6" ht="27" customHeight="1">
      <c r="A24" s="23">
        <v>801</v>
      </c>
      <c r="B24" s="23">
        <v>80146</v>
      </c>
      <c r="C24" s="23">
        <v>2320</v>
      </c>
      <c r="D24" s="89" t="s">
        <v>369</v>
      </c>
      <c r="E24" s="20">
        <f>E26</f>
        <v>0</v>
      </c>
      <c r="F24" s="20">
        <f>F26</f>
        <v>12000</v>
      </c>
    </row>
    <row r="25" spans="1:6" ht="15.75" customHeight="1">
      <c r="A25" s="6"/>
      <c r="B25" s="6"/>
      <c r="C25" s="6"/>
      <c r="D25" s="37" t="s">
        <v>368</v>
      </c>
      <c r="E25" s="6"/>
      <c r="F25" s="6"/>
    </row>
    <row r="26" spans="1:6" ht="15" customHeight="1">
      <c r="A26" s="6"/>
      <c r="B26" s="6"/>
      <c r="C26" s="6"/>
      <c r="D26" s="22" t="s">
        <v>370</v>
      </c>
      <c r="E26" s="6">
        <v>0</v>
      </c>
      <c r="F26" s="6">
        <v>12000</v>
      </c>
    </row>
    <row r="27" spans="1:6" ht="24" customHeight="1">
      <c r="A27" s="20">
        <v>853</v>
      </c>
      <c r="B27" s="23">
        <v>85321</v>
      </c>
      <c r="C27" s="23">
        <v>2320</v>
      </c>
      <c r="D27" s="94" t="s">
        <v>371</v>
      </c>
      <c r="E27" s="20">
        <f>E29</f>
        <v>0</v>
      </c>
      <c r="F27" s="20">
        <f>F29</f>
        <v>37238</v>
      </c>
    </row>
    <row r="28" spans="1:6" ht="12" customHeight="1">
      <c r="A28" s="6"/>
      <c r="B28" s="6"/>
      <c r="C28" s="6"/>
      <c r="D28" s="22" t="s">
        <v>368</v>
      </c>
      <c r="E28" s="6"/>
      <c r="F28" s="6"/>
    </row>
    <row r="29" spans="1:6" ht="15" customHeight="1">
      <c r="A29" s="6"/>
      <c r="B29" s="6"/>
      <c r="C29" s="6"/>
      <c r="D29" s="22" t="s">
        <v>370</v>
      </c>
      <c r="E29" s="6">
        <v>0</v>
      </c>
      <c r="F29" s="6">
        <v>37238</v>
      </c>
    </row>
    <row r="30" spans="1:6" ht="25.5" customHeight="1">
      <c r="A30" s="10">
        <v>854</v>
      </c>
      <c r="B30" s="10">
        <v>85417</v>
      </c>
      <c r="C30" s="10">
        <v>2310</v>
      </c>
      <c r="D30" s="7" t="s">
        <v>372</v>
      </c>
      <c r="E30" s="20">
        <v>0</v>
      </c>
      <c r="F30" s="20">
        <f>F32+F33</f>
        <v>6000</v>
      </c>
    </row>
    <row r="31" spans="1:6" ht="12" customHeight="1">
      <c r="A31" s="11"/>
      <c r="B31" s="11"/>
      <c r="C31" s="11"/>
      <c r="D31" s="14" t="s">
        <v>368</v>
      </c>
      <c r="E31" s="6"/>
      <c r="F31" s="6"/>
    </row>
    <row r="32" spans="1:6" ht="18" customHeight="1" hidden="1">
      <c r="A32" s="11"/>
      <c r="B32" s="11"/>
      <c r="C32" s="11"/>
      <c r="D32" s="95" t="s">
        <v>373</v>
      </c>
      <c r="E32" s="6">
        <v>0</v>
      </c>
      <c r="F32" s="6">
        <v>0</v>
      </c>
    </row>
    <row r="33" spans="1:6" ht="15" customHeight="1">
      <c r="A33" s="11"/>
      <c r="B33" s="11"/>
      <c r="C33" s="11"/>
      <c r="D33" s="95" t="s">
        <v>374</v>
      </c>
      <c r="E33" s="6">
        <v>0</v>
      </c>
      <c r="F33" s="6">
        <v>6000</v>
      </c>
    </row>
    <row r="34" spans="1:6" ht="16.5" customHeight="1">
      <c r="A34" s="10">
        <v>750</v>
      </c>
      <c r="B34" s="10">
        <v>75011</v>
      </c>
      <c r="C34" s="10">
        <v>2310</v>
      </c>
      <c r="D34" s="10" t="s">
        <v>110</v>
      </c>
      <c r="E34" s="20">
        <v>0</v>
      </c>
      <c r="F34" s="20">
        <f>F36+F37+F38</f>
        <v>17600</v>
      </c>
    </row>
    <row r="35" spans="1:6" ht="15.75" customHeight="1">
      <c r="A35" s="11"/>
      <c r="B35" s="11"/>
      <c r="C35" s="11"/>
      <c r="D35" s="11" t="s">
        <v>368</v>
      </c>
      <c r="E35" s="6"/>
      <c r="F35" s="6"/>
    </row>
    <row r="36" spans="1:6" ht="17.25" customHeight="1">
      <c r="A36" s="11"/>
      <c r="B36" s="11"/>
      <c r="C36" s="11"/>
      <c r="D36" s="32" t="s">
        <v>375</v>
      </c>
      <c r="E36" s="6">
        <v>0</v>
      </c>
      <c r="F36" s="6">
        <v>4600</v>
      </c>
    </row>
    <row r="37" spans="1:6" ht="17.25" customHeight="1">
      <c r="A37" s="11"/>
      <c r="B37" s="11"/>
      <c r="C37" s="11"/>
      <c r="D37" s="32" t="s">
        <v>374</v>
      </c>
      <c r="E37" s="6">
        <v>0</v>
      </c>
      <c r="F37" s="6">
        <v>5000</v>
      </c>
    </row>
    <row r="38" spans="1:6" ht="18.75" customHeight="1">
      <c r="A38" s="11"/>
      <c r="B38" s="11"/>
      <c r="C38" s="11"/>
      <c r="D38" s="95" t="s">
        <v>376</v>
      </c>
      <c r="E38" s="6">
        <v>0</v>
      </c>
      <c r="F38" s="6">
        <v>8000</v>
      </c>
    </row>
    <row r="39" spans="1:6" ht="18.75" customHeight="1">
      <c r="A39" s="10">
        <v>750</v>
      </c>
      <c r="B39" s="10">
        <v>75018</v>
      </c>
      <c r="C39" s="10">
        <v>2330</v>
      </c>
      <c r="D39" s="96" t="s">
        <v>746</v>
      </c>
      <c r="E39" s="20">
        <v>0</v>
      </c>
      <c r="F39" s="20">
        <f>F41</f>
        <v>12000</v>
      </c>
    </row>
    <row r="40" spans="1:6" ht="15" customHeight="1">
      <c r="A40" s="24"/>
      <c r="B40" s="24"/>
      <c r="C40" s="24"/>
      <c r="D40" s="375" t="s">
        <v>368</v>
      </c>
      <c r="E40" s="91"/>
      <c r="F40" s="91"/>
    </row>
    <row r="41" spans="1:6" ht="30" customHeight="1">
      <c r="A41" s="24"/>
      <c r="B41" s="24"/>
      <c r="C41" s="24"/>
      <c r="D41" s="375" t="s">
        <v>753</v>
      </c>
      <c r="E41" s="91">
        <v>0</v>
      </c>
      <c r="F41" s="91">
        <v>12000</v>
      </c>
    </row>
    <row r="42" spans="1:6" ht="27.75" customHeight="1">
      <c r="A42" s="10">
        <v>921</v>
      </c>
      <c r="B42" s="10">
        <v>92116</v>
      </c>
      <c r="C42" s="10">
        <v>2310</v>
      </c>
      <c r="D42" s="96" t="s">
        <v>377</v>
      </c>
      <c r="E42" s="20">
        <v>0</v>
      </c>
      <c r="F42" s="20">
        <f>F44</f>
        <v>30000</v>
      </c>
    </row>
    <row r="43" spans="1:6" ht="12.75" customHeight="1">
      <c r="A43" s="11"/>
      <c r="B43" s="11"/>
      <c r="C43" s="11"/>
      <c r="D43" s="32" t="s">
        <v>368</v>
      </c>
      <c r="E43" s="6"/>
      <c r="F43" s="6"/>
    </row>
    <row r="44" spans="1:6" ht="15" customHeight="1">
      <c r="A44" s="11"/>
      <c r="B44" s="11"/>
      <c r="C44" s="11"/>
      <c r="D44" s="95" t="s">
        <v>378</v>
      </c>
      <c r="E44" s="6">
        <v>0</v>
      </c>
      <c r="F44" s="6">
        <v>30000</v>
      </c>
    </row>
    <row r="45" spans="1:6" ht="15" customHeight="1">
      <c r="A45" s="10">
        <v>921</v>
      </c>
      <c r="B45" s="10">
        <v>92195</v>
      </c>
      <c r="C45" s="10">
        <v>2310</v>
      </c>
      <c r="D45" s="96" t="s">
        <v>124</v>
      </c>
      <c r="E45" s="20">
        <f>E47</f>
        <v>0</v>
      </c>
      <c r="F45" s="20">
        <f>F47</f>
        <v>3000</v>
      </c>
    </row>
    <row r="46" spans="1:6" ht="15" customHeight="1">
      <c r="A46" s="11"/>
      <c r="B46" s="11"/>
      <c r="C46" s="11"/>
      <c r="D46" s="95" t="s">
        <v>368</v>
      </c>
      <c r="E46" s="6"/>
      <c r="F46" s="6"/>
    </row>
    <row r="47" spans="1:6" ht="15" customHeight="1">
      <c r="A47" s="11"/>
      <c r="B47" s="11"/>
      <c r="C47" s="11"/>
      <c r="D47" s="95" t="s">
        <v>820</v>
      </c>
      <c r="E47" s="6">
        <v>0</v>
      </c>
      <c r="F47" s="6">
        <v>3000</v>
      </c>
    </row>
    <row r="48" spans="1:7" ht="17.25" customHeight="1">
      <c r="A48" s="10"/>
      <c r="B48" s="10"/>
      <c r="C48" s="10"/>
      <c r="D48" s="96" t="s">
        <v>379</v>
      </c>
      <c r="E48" s="20">
        <f>E24+E27+E30+E34+E42+E39+E18+E11+E6+E15+E21+E45</f>
        <v>154390</v>
      </c>
      <c r="F48" s="20">
        <f>F24+F27+F30+F34+F42+F39+F18+F11+F6+F15+F21+F45</f>
        <v>233120</v>
      </c>
      <c r="G48" s="275"/>
    </row>
    <row r="49" ht="27" customHeight="1">
      <c r="A49" t="s">
        <v>817</v>
      </c>
    </row>
    <row r="50" ht="21.75" customHeight="1"/>
    <row r="51" ht="21.75" customHeight="1"/>
    <row r="52" ht="21" customHeight="1"/>
    <row r="53" ht="18.75" customHeight="1"/>
    <row r="54" ht="17.25" customHeight="1"/>
    <row r="55" ht="17.25" customHeight="1"/>
    <row r="56" ht="18.75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24" customHeight="1"/>
  </sheetData>
  <mergeCells count="6">
    <mergeCell ref="D3:D4"/>
    <mergeCell ref="E3:E4"/>
    <mergeCell ref="F3:F4"/>
    <mergeCell ref="C1:F1"/>
    <mergeCell ref="A2:F2"/>
    <mergeCell ref="A3:C3"/>
  </mergeCells>
  <printOptions/>
  <pageMargins left="0.7874015748031497" right="0.7874015748031497" top="0.1968503937007874" bottom="0.1968503937007874" header="0.5118110236220472" footer="0.5118110236220472"/>
  <pageSetup horizontalDpi="360" verticalDpi="360" orientation="portrait" paperSize="9" scale="97" r:id="rId1"/>
  <headerFooter alignWithMargins="0">
    <oddFooter>&amp;CStrona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14"/>
  <sheetViews>
    <sheetView workbookViewId="0" topLeftCell="A1">
      <selection activeCell="H9" sqref="H9"/>
    </sheetView>
  </sheetViews>
  <sheetFormatPr defaultColWidth="9.00390625" defaultRowHeight="12.75"/>
  <cols>
    <col min="1" max="1" width="7.375" style="0" customWidth="1"/>
    <col min="2" max="2" width="9.875" style="0" customWidth="1"/>
    <col min="3" max="3" width="6.375" style="0" customWidth="1"/>
    <col min="4" max="4" width="29.375" style="0" customWidth="1"/>
    <col min="5" max="5" width="17.125" style="0" customWidth="1"/>
    <col min="6" max="6" width="16.25390625" style="0" customWidth="1"/>
  </cols>
  <sheetData>
    <row r="1" spans="5:6" ht="17.25" customHeight="1">
      <c r="E1" s="527" t="s">
        <v>1</v>
      </c>
      <c r="F1" s="527"/>
    </row>
    <row r="2" spans="5:6" ht="23.25" customHeight="1">
      <c r="E2" s="527"/>
      <c r="F2" s="527"/>
    </row>
    <row r="3" spans="5:6" ht="12.75">
      <c r="E3" s="1"/>
      <c r="F3" s="1"/>
    </row>
    <row r="4" spans="1:12" ht="27" customHeight="1">
      <c r="A4" s="592" t="s">
        <v>731</v>
      </c>
      <c r="B4" s="592"/>
      <c r="C4" s="592"/>
      <c r="D4" s="592"/>
      <c r="E4" s="592"/>
      <c r="F4" s="592"/>
      <c r="G4" s="587"/>
      <c r="H4" s="587"/>
      <c r="I4" s="587"/>
      <c r="J4" s="587"/>
      <c r="K4" s="587"/>
      <c r="L4" s="587"/>
    </row>
    <row r="5" spans="1:6" ht="27" customHeight="1" thickBot="1">
      <c r="A5" s="347"/>
      <c r="B5" s="347"/>
      <c r="C5" s="347"/>
      <c r="D5" s="347"/>
      <c r="E5" s="347"/>
      <c r="F5" s="347"/>
    </row>
    <row r="6" spans="1:6" ht="13.5" thickBot="1">
      <c r="A6" s="567" t="s">
        <v>327</v>
      </c>
      <c r="B6" s="568"/>
      <c r="C6" s="569"/>
      <c r="D6" s="583" t="s">
        <v>328</v>
      </c>
      <c r="E6" s="583" t="s">
        <v>364</v>
      </c>
      <c r="F6" s="583" t="s">
        <v>330</v>
      </c>
    </row>
    <row r="7" spans="1:6" ht="13.5" thickBot="1">
      <c r="A7" s="97" t="s">
        <v>332</v>
      </c>
      <c r="B7" s="97" t="s">
        <v>333</v>
      </c>
      <c r="C7" s="362" t="s">
        <v>29</v>
      </c>
      <c r="D7" s="584"/>
      <c r="E7" s="584"/>
      <c r="F7" s="584"/>
    </row>
    <row r="8" spans="1:6" ht="18" customHeight="1" thickBot="1">
      <c r="A8" s="363">
        <v>1</v>
      </c>
      <c r="B8" s="364">
        <v>2</v>
      </c>
      <c r="C8" s="364">
        <v>3</v>
      </c>
      <c r="D8" s="364">
        <v>4</v>
      </c>
      <c r="E8" s="364">
        <v>5</v>
      </c>
      <c r="F8" s="365">
        <v>6</v>
      </c>
    </row>
    <row r="9" spans="1:6" ht="69.75" customHeight="1">
      <c r="A9" s="352">
        <v>600</v>
      </c>
      <c r="B9" s="45">
        <v>60014</v>
      </c>
      <c r="C9" s="45">
        <v>642</v>
      </c>
      <c r="D9" s="63" t="s">
        <v>732</v>
      </c>
      <c r="E9" s="98">
        <v>1457900</v>
      </c>
      <c r="F9" s="366">
        <v>0</v>
      </c>
    </row>
    <row r="10" spans="1:6" ht="29.25" customHeight="1" thickBot="1">
      <c r="A10" s="11"/>
      <c r="B10" s="11"/>
      <c r="C10" s="11">
        <v>6050</v>
      </c>
      <c r="D10" s="14" t="s">
        <v>733</v>
      </c>
      <c r="E10" s="99">
        <v>0</v>
      </c>
      <c r="F10" s="367">
        <v>1457900</v>
      </c>
    </row>
    <row r="11" spans="1:6" ht="28.5" customHeight="1" thickBot="1">
      <c r="A11" s="589" t="s">
        <v>363</v>
      </c>
      <c r="B11" s="590"/>
      <c r="C11" s="590"/>
      <c r="D11" s="591"/>
      <c r="E11" s="371">
        <f>E9</f>
        <v>1457900</v>
      </c>
      <c r="F11" s="372">
        <f>F9+F10</f>
        <v>1457900</v>
      </c>
    </row>
    <row r="14" ht="12.75">
      <c r="A14" t="s">
        <v>818</v>
      </c>
    </row>
  </sheetData>
  <mergeCells count="8">
    <mergeCell ref="G4:L4"/>
    <mergeCell ref="A11:D11"/>
    <mergeCell ref="E1:F2"/>
    <mergeCell ref="A4:F4"/>
    <mergeCell ref="A6:C6"/>
    <mergeCell ref="D6:D7"/>
    <mergeCell ref="E6:E7"/>
    <mergeCell ref="F6:F7"/>
  </mergeCells>
  <printOptions/>
  <pageMargins left="0.75" right="0.75" top="1" bottom="1" header="0.5" footer="0.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K39"/>
  <sheetViews>
    <sheetView workbookViewId="0" topLeftCell="A1">
      <selection activeCell="C2" sqref="C2:E2"/>
    </sheetView>
  </sheetViews>
  <sheetFormatPr defaultColWidth="9.00390625" defaultRowHeight="12.75"/>
  <cols>
    <col min="1" max="1" width="4.375" style="0" customWidth="1"/>
    <col min="2" max="2" width="39.625" style="0" customWidth="1"/>
    <col min="3" max="3" width="16.875" style="0" customWidth="1"/>
    <col min="4" max="4" width="14.875" style="0" hidden="1" customWidth="1"/>
    <col min="5" max="5" width="27.375" style="0" customWidth="1"/>
  </cols>
  <sheetData>
    <row r="1" ht="12.75" customHeight="1"/>
    <row r="2" spans="3:5" ht="49.5" customHeight="1">
      <c r="C2" s="593" t="s">
        <v>2</v>
      </c>
      <c r="D2" s="593"/>
      <c r="E2" s="593"/>
    </row>
    <row r="3" spans="1:8" ht="15.75">
      <c r="A3" s="596" t="s">
        <v>380</v>
      </c>
      <c r="B3" s="596"/>
      <c r="C3" s="596"/>
      <c r="D3" s="596"/>
      <c r="E3" s="596"/>
      <c r="F3" s="596"/>
      <c r="G3" s="596"/>
      <c r="H3" s="596"/>
    </row>
    <row r="4" spans="1:8" ht="15.75">
      <c r="A4" s="100"/>
      <c r="B4" s="100"/>
      <c r="C4" s="100"/>
      <c r="D4" s="100"/>
      <c r="E4" s="100"/>
      <c r="F4" s="100"/>
      <c r="G4" s="100"/>
      <c r="H4" s="100"/>
    </row>
    <row r="5" ht="13.5" thickBot="1"/>
    <row r="6" spans="1:8" ht="24.75" customHeight="1">
      <c r="A6" s="601" t="s">
        <v>381</v>
      </c>
      <c r="B6" s="599" t="s">
        <v>382</v>
      </c>
      <c r="C6" s="597" t="s">
        <v>383</v>
      </c>
      <c r="D6" s="603" t="s">
        <v>670</v>
      </c>
      <c r="E6" s="605" t="s">
        <v>663</v>
      </c>
      <c r="F6" s="594"/>
      <c r="G6" s="594"/>
      <c r="H6" s="594"/>
    </row>
    <row r="7" spans="1:8" ht="18.75" customHeight="1" thickBot="1">
      <c r="A7" s="602"/>
      <c r="B7" s="600"/>
      <c r="C7" s="598"/>
      <c r="D7" s="604"/>
      <c r="E7" s="606"/>
      <c r="F7" s="594"/>
      <c r="G7" s="594"/>
      <c r="H7" s="594"/>
    </row>
    <row r="8" spans="1:5" ht="13.5" customHeight="1" thickBot="1">
      <c r="A8" s="101">
        <v>1</v>
      </c>
      <c r="B8" s="102">
        <v>2</v>
      </c>
      <c r="C8" s="103">
        <v>3</v>
      </c>
      <c r="D8" s="337">
        <v>4</v>
      </c>
      <c r="E8" s="495">
        <v>5</v>
      </c>
    </row>
    <row r="9" spans="1:5" ht="18" customHeight="1" thickBot="1">
      <c r="A9" s="18" t="s">
        <v>385</v>
      </c>
      <c r="B9" s="104" t="s">
        <v>386</v>
      </c>
      <c r="C9" s="104"/>
      <c r="D9" s="338">
        <v>25467450</v>
      </c>
      <c r="E9" s="135">
        <v>22961237</v>
      </c>
    </row>
    <row r="10" spans="1:5" ht="18" customHeight="1" thickBot="1">
      <c r="A10" s="105" t="s">
        <v>387</v>
      </c>
      <c r="B10" s="106" t="s">
        <v>388</v>
      </c>
      <c r="C10" s="106"/>
      <c r="D10" s="339">
        <v>28296781</v>
      </c>
      <c r="E10" s="112">
        <v>29499714</v>
      </c>
    </row>
    <row r="11" spans="1:5" ht="12.75">
      <c r="A11" s="107"/>
      <c r="B11" s="63" t="s">
        <v>389</v>
      </c>
      <c r="C11" s="45"/>
      <c r="D11" s="115">
        <f>D9-D10</f>
        <v>-2829331</v>
      </c>
      <c r="E11" s="45">
        <f>E9-E10</f>
        <v>-6538477</v>
      </c>
    </row>
    <row r="12" spans="1:5" ht="15.75" customHeight="1" thickBot="1">
      <c r="A12" s="108"/>
      <c r="B12" s="109" t="s">
        <v>390</v>
      </c>
      <c r="C12" s="109"/>
      <c r="D12" s="119">
        <f>D13-D21</f>
        <v>2945559</v>
      </c>
      <c r="E12" s="110">
        <f>E13-E21</f>
        <v>6538477</v>
      </c>
    </row>
    <row r="13" spans="1:5" ht="15.75" customHeight="1" thickBot="1">
      <c r="A13" s="105" t="s">
        <v>391</v>
      </c>
      <c r="B13" s="111" t="s">
        <v>392</v>
      </c>
      <c r="C13" s="112"/>
      <c r="D13" s="340">
        <f>D16+D20+D14+D18</f>
        <v>3495559</v>
      </c>
      <c r="E13" s="113">
        <f>E16+E20+E14+E18+E15</f>
        <v>7288477</v>
      </c>
    </row>
    <row r="14" spans="1:5" ht="12.75">
      <c r="A14" s="114" t="s">
        <v>393</v>
      </c>
      <c r="B14" s="63" t="s">
        <v>826</v>
      </c>
      <c r="C14" s="107" t="s">
        <v>394</v>
      </c>
      <c r="D14" s="115">
        <v>3067725</v>
      </c>
      <c r="E14" s="45">
        <v>6270000</v>
      </c>
    </row>
    <row r="15" spans="1:5" ht="16.5" customHeight="1">
      <c r="A15" s="116" t="s">
        <v>395</v>
      </c>
      <c r="B15" s="11" t="s">
        <v>396</v>
      </c>
      <c r="C15" s="6" t="s">
        <v>394</v>
      </c>
      <c r="D15" s="341">
        <v>0</v>
      </c>
      <c r="E15" s="11">
        <v>180000</v>
      </c>
    </row>
    <row r="16" spans="1:5" ht="16.5" customHeight="1">
      <c r="A16" s="116" t="s">
        <v>397</v>
      </c>
      <c r="B16" s="11" t="s">
        <v>398</v>
      </c>
      <c r="C16" s="6" t="s">
        <v>399</v>
      </c>
      <c r="D16" s="341">
        <v>119000</v>
      </c>
      <c r="E16" s="11">
        <v>249000</v>
      </c>
    </row>
    <row r="17" spans="1:5" ht="18" customHeight="1">
      <c r="A17" s="116" t="s">
        <v>400</v>
      </c>
      <c r="B17" s="11" t="s">
        <v>401</v>
      </c>
      <c r="C17" s="6" t="s">
        <v>402</v>
      </c>
      <c r="D17" s="341">
        <v>0</v>
      </c>
      <c r="E17" s="11">
        <v>0</v>
      </c>
    </row>
    <row r="18" spans="1:5" ht="18.75" customHeight="1">
      <c r="A18" s="116" t="s">
        <v>403</v>
      </c>
      <c r="B18" s="14" t="s">
        <v>404</v>
      </c>
      <c r="C18" s="6" t="s">
        <v>405</v>
      </c>
      <c r="D18" s="341">
        <v>182463</v>
      </c>
      <c r="E18" s="11">
        <v>0</v>
      </c>
    </row>
    <row r="19" spans="1:5" ht="18.75" customHeight="1">
      <c r="A19" s="116">
        <v>6</v>
      </c>
      <c r="B19" s="14" t="s">
        <v>406</v>
      </c>
      <c r="C19" s="6" t="s">
        <v>407</v>
      </c>
      <c r="D19" s="341">
        <v>0</v>
      </c>
      <c r="E19" s="11">
        <v>0</v>
      </c>
    </row>
    <row r="20" spans="1:5" ht="13.5" thickBot="1">
      <c r="A20" s="117" t="s">
        <v>408</v>
      </c>
      <c r="B20" s="118" t="s">
        <v>409</v>
      </c>
      <c r="C20" s="54" t="s">
        <v>399</v>
      </c>
      <c r="D20" s="119">
        <v>126371</v>
      </c>
      <c r="E20" s="110">
        <v>589477</v>
      </c>
    </row>
    <row r="21" spans="1:5" ht="15.75" customHeight="1" thickBot="1">
      <c r="A21" s="105" t="s">
        <v>410</v>
      </c>
      <c r="B21" s="120" t="s">
        <v>411</v>
      </c>
      <c r="C21" s="102"/>
      <c r="D21" s="111">
        <f>D22+D25</f>
        <v>550000</v>
      </c>
      <c r="E21" s="113">
        <f>E22</f>
        <v>750000</v>
      </c>
    </row>
    <row r="22" spans="1:5" ht="15.75" customHeight="1">
      <c r="A22" s="122" t="s">
        <v>393</v>
      </c>
      <c r="B22" s="123" t="s">
        <v>412</v>
      </c>
      <c r="C22" s="124" t="s">
        <v>413</v>
      </c>
      <c r="D22" s="342">
        <v>550000</v>
      </c>
      <c r="E22" s="45">
        <v>750000</v>
      </c>
    </row>
    <row r="23" spans="1:5" ht="15.75" customHeight="1">
      <c r="A23" s="116" t="s">
        <v>395</v>
      </c>
      <c r="B23" s="11" t="s">
        <v>414</v>
      </c>
      <c r="C23" s="6" t="s">
        <v>415</v>
      </c>
      <c r="D23" s="341">
        <v>0</v>
      </c>
      <c r="E23" s="11">
        <v>0</v>
      </c>
    </row>
    <row r="24" spans="1:5" ht="15.75" customHeight="1">
      <c r="A24" s="116" t="s">
        <v>397</v>
      </c>
      <c r="B24" s="11" t="s">
        <v>416</v>
      </c>
      <c r="C24" s="6" t="s">
        <v>413</v>
      </c>
      <c r="D24" s="341">
        <v>0</v>
      </c>
      <c r="E24" s="11">
        <v>0</v>
      </c>
    </row>
    <row r="25" spans="1:11" ht="15.75" customHeight="1">
      <c r="A25" s="116" t="s">
        <v>400</v>
      </c>
      <c r="B25" s="11" t="s">
        <v>417</v>
      </c>
      <c r="C25" s="6" t="s">
        <v>418</v>
      </c>
      <c r="D25" s="341">
        <v>0</v>
      </c>
      <c r="E25" s="11">
        <v>0</v>
      </c>
      <c r="K25" s="46"/>
    </row>
    <row r="26" spans="1:5" ht="15.75" customHeight="1">
      <c r="A26" s="116" t="s">
        <v>403</v>
      </c>
      <c r="B26" s="11" t="s">
        <v>419</v>
      </c>
      <c r="C26" s="6" t="s">
        <v>420</v>
      </c>
      <c r="D26" s="341">
        <v>0</v>
      </c>
      <c r="E26" s="11">
        <v>0</v>
      </c>
    </row>
    <row r="27" spans="1:5" ht="20.25" customHeight="1" thickBot="1">
      <c r="A27" s="51">
        <v>6</v>
      </c>
      <c r="B27" s="125" t="s">
        <v>421</v>
      </c>
      <c r="C27" s="126" t="s">
        <v>415</v>
      </c>
      <c r="D27" s="343">
        <v>0</v>
      </c>
      <c r="E27" s="110">
        <v>0</v>
      </c>
    </row>
    <row r="28" spans="1:5" ht="13.5" thickBot="1">
      <c r="A28" s="328"/>
      <c r="B28" s="373"/>
      <c r="C28" s="373"/>
      <c r="D28" s="373"/>
      <c r="E28" s="112"/>
    </row>
    <row r="29" spans="1:5" ht="12.75">
      <c r="A29" s="127" t="s">
        <v>422</v>
      </c>
      <c r="B29" s="128" t="s">
        <v>655</v>
      </c>
      <c r="C29" s="128"/>
      <c r="D29" s="342">
        <v>238394</v>
      </c>
      <c r="E29" s="138">
        <v>0</v>
      </c>
    </row>
    <row r="30" spans="1:5" ht="12.75">
      <c r="A30" s="129" t="s">
        <v>423</v>
      </c>
      <c r="B30" s="10" t="s">
        <v>424</v>
      </c>
      <c r="C30" s="10"/>
      <c r="D30" s="341">
        <f>D9-D29</f>
        <v>25229056</v>
      </c>
      <c r="E30" s="139">
        <f>E9-E29</f>
        <v>22961237</v>
      </c>
    </row>
    <row r="31" spans="1:5" ht="12.75">
      <c r="A31" s="129" t="s">
        <v>425</v>
      </c>
      <c r="B31" s="10" t="s">
        <v>426</v>
      </c>
      <c r="C31" s="10"/>
      <c r="D31" s="341">
        <f>D10-D30</f>
        <v>3067725</v>
      </c>
      <c r="E31" s="139">
        <f>E10-E30</f>
        <v>6538477</v>
      </c>
    </row>
    <row r="32" spans="1:5" ht="24.75" customHeight="1" thickBot="1">
      <c r="A32" s="130" t="s">
        <v>427</v>
      </c>
      <c r="B32" s="595" t="s">
        <v>634</v>
      </c>
      <c r="C32" s="595"/>
      <c r="D32" s="343">
        <f>D13-D21</f>
        <v>2945559</v>
      </c>
      <c r="E32" s="344">
        <f>E13-E21</f>
        <v>6538477</v>
      </c>
    </row>
    <row r="33" ht="12.75">
      <c r="A33" t="s">
        <v>827</v>
      </c>
    </row>
    <row r="34" ht="12.75">
      <c r="A34" t="s">
        <v>828</v>
      </c>
    </row>
    <row r="35" ht="12.75">
      <c r="A35" t="s">
        <v>3</v>
      </c>
    </row>
    <row r="36" spans="2:3" ht="30.75" customHeight="1">
      <c r="B36" t="s">
        <v>27</v>
      </c>
      <c r="C36" t="s">
        <v>803</v>
      </c>
    </row>
    <row r="39" ht="12.75">
      <c r="E39" t="s">
        <v>711</v>
      </c>
    </row>
  </sheetData>
  <mergeCells count="9">
    <mergeCell ref="C2:E2"/>
    <mergeCell ref="F6:H7"/>
    <mergeCell ref="B32:C32"/>
    <mergeCell ref="A3:H3"/>
    <mergeCell ref="C6:C7"/>
    <mergeCell ref="B6:B7"/>
    <mergeCell ref="A6:A7"/>
    <mergeCell ref="D6:D7"/>
    <mergeCell ref="E6:E7"/>
  </mergeCells>
  <printOptions/>
  <pageMargins left="0.5905511811023623" right="0.5905511811023623" top="0.3937007874015748" bottom="0.984251968503937" header="0.5118110236220472" footer="0.5118110236220472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32"/>
  <sheetViews>
    <sheetView workbookViewId="0" topLeftCell="C1">
      <selection activeCell="G1" sqref="G1"/>
    </sheetView>
  </sheetViews>
  <sheetFormatPr defaultColWidth="9.00390625" defaultRowHeight="12.75"/>
  <cols>
    <col min="1" max="1" width="4.00390625" style="0" customWidth="1"/>
    <col min="2" max="2" width="41.875" style="0" customWidth="1"/>
    <col min="3" max="3" width="10.00390625" style="0" customWidth="1"/>
    <col min="4" max="4" width="9.625" style="0" customWidth="1"/>
    <col min="5" max="6" width="9.00390625" style="0" customWidth="1"/>
    <col min="7" max="8" width="8.875" style="0" customWidth="1"/>
    <col min="9" max="9" width="9.00390625" style="0" customWidth="1"/>
    <col min="10" max="10" width="8.625" style="0" customWidth="1"/>
  </cols>
  <sheetData>
    <row r="1" spans="9:12" ht="43.5" customHeight="1">
      <c r="I1" s="609" t="s">
        <v>4</v>
      </c>
      <c r="J1" s="609"/>
      <c r="K1" s="609"/>
      <c r="L1" s="609"/>
    </row>
    <row r="2" ht="12.75" hidden="1"/>
    <row r="3" ht="12.75" hidden="1"/>
    <row r="4" spans="2:4" ht="18" customHeight="1" thickBot="1">
      <c r="B4" s="607" t="s">
        <v>428</v>
      </c>
      <c r="C4" s="607"/>
      <c r="D4" s="607"/>
    </row>
    <row r="5" spans="1:13" ht="16.5" customHeight="1" thickBot="1">
      <c r="A5" s="583" t="s">
        <v>381</v>
      </c>
      <c r="B5" s="497" t="s">
        <v>429</v>
      </c>
      <c r="C5" s="610" t="s">
        <v>430</v>
      </c>
      <c r="D5" s="611"/>
      <c r="E5" s="611"/>
      <c r="F5" s="611"/>
      <c r="G5" s="611"/>
      <c r="H5" s="611"/>
      <c r="I5" s="611"/>
      <c r="J5" s="611"/>
      <c r="K5" s="611"/>
      <c r="L5" s="611"/>
      <c r="M5" s="612"/>
    </row>
    <row r="6" spans="1:13" ht="55.5" customHeight="1" thickBot="1">
      <c r="A6" s="584"/>
      <c r="B6" s="608"/>
      <c r="C6" s="471">
        <v>2003</v>
      </c>
      <c r="D6" s="471">
        <v>2004</v>
      </c>
      <c r="E6" s="471">
        <v>2005</v>
      </c>
      <c r="F6" s="472">
        <v>2006</v>
      </c>
      <c r="G6" s="472">
        <v>2007</v>
      </c>
      <c r="H6" s="472">
        <v>2008</v>
      </c>
      <c r="I6" s="471">
        <v>2009</v>
      </c>
      <c r="J6" s="459">
        <v>2010</v>
      </c>
      <c r="K6" s="97">
        <v>2011</v>
      </c>
      <c r="L6" s="97">
        <v>2012</v>
      </c>
      <c r="M6" s="97" t="s">
        <v>841</v>
      </c>
    </row>
    <row r="7" spans="1:13" ht="13.5" thickBot="1">
      <c r="A7" s="131">
        <v>1</v>
      </c>
      <c r="B7" s="133">
        <v>2</v>
      </c>
      <c r="C7" s="132">
        <v>3</v>
      </c>
      <c r="D7" s="133">
        <v>4</v>
      </c>
      <c r="E7" s="133">
        <v>5</v>
      </c>
      <c r="F7" s="134">
        <v>6</v>
      </c>
      <c r="G7" s="133">
        <v>7</v>
      </c>
      <c r="H7" s="133">
        <v>8</v>
      </c>
      <c r="I7" s="374">
        <v>9</v>
      </c>
      <c r="J7" s="377">
        <v>10</v>
      </c>
      <c r="K7" s="133">
        <v>11</v>
      </c>
      <c r="L7" s="133">
        <v>12</v>
      </c>
      <c r="M7" s="133">
        <v>13</v>
      </c>
    </row>
    <row r="8" spans="1:13" ht="15.75" customHeight="1">
      <c r="A8" s="136" t="s">
        <v>393</v>
      </c>
      <c r="B8" s="137" t="s">
        <v>431</v>
      </c>
      <c r="C8" s="469">
        <v>0</v>
      </c>
      <c r="D8" s="469">
        <v>0</v>
      </c>
      <c r="E8" s="469">
        <v>0</v>
      </c>
      <c r="F8" s="469">
        <v>0</v>
      </c>
      <c r="G8" s="469">
        <v>0</v>
      </c>
      <c r="H8" s="469">
        <v>0</v>
      </c>
      <c r="I8" s="469">
        <v>0</v>
      </c>
      <c r="J8" s="473">
        <v>0</v>
      </c>
      <c r="K8" s="407">
        <v>0</v>
      </c>
      <c r="L8" s="407">
        <v>0</v>
      </c>
      <c r="M8" s="407">
        <v>0</v>
      </c>
    </row>
    <row r="9" spans="1:13" ht="29.25" customHeight="1">
      <c r="A9" s="140" t="s">
        <v>395</v>
      </c>
      <c r="B9" s="141" t="s">
        <v>852</v>
      </c>
      <c r="C9" s="461">
        <v>4637725</v>
      </c>
      <c r="D9" s="470">
        <v>3787725</v>
      </c>
      <c r="E9" s="470">
        <v>2937725</v>
      </c>
      <c r="F9" s="470">
        <v>2087725</v>
      </c>
      <c r="G9" s="461">
        <v>1237725</v>
      </c>
      <c r="H9" s="470">
        <v>370000</v>
      </c>
      <c r="I9" s="470">
        <v>0</v>
      </c>
      <c r="J9" s="470">
        <v>0</v>
      </c>
      <c r="K9" s="405">
        <v>0</v>
      </c>
      <c r="L9" s="405">
        <v>0</v>
      </c>
      <c r="M9" s="405">
        <v>0</v>
      </c>
    </row>
    <row r="10" spans="1:13" ht="15" customHeight="1">
      <c r="A10" s="140" t="s">
        <v>397</v>
      </c>
      <c r="B10" s="142" t="s">
        <v>856</v>
      </c>
      <c r="C10" s="461">
        <v>180000</v>
      </c>
      <c r="D10" s="470">
        <v>144000</v>
      </c>
      <c r="E10" s="470">
        <v>108000</v>
      </c>
      <c r="F10" s="470">
        <v>72000</v>
      </c>
      <c r="G10" s="461">
        <v>36000</v>
      </c>
      <c r="H10" s="470">
        <v>0</v>
      </c>
      <c r="I10" s="470">
        <v>0</v>
      </c>
      <c r="J10" s="470">
        <v>0</v>
      </c>
      <c r="K10" s="405">
        <v>0</v>
      </c>
      <c r="L10" s="405">
        <v>0</v>
      </c>
      <c r="M10" s="405">
        <v>0</v>
      </c>
    </row>
    <row r="11" spans="1:13" ht="15.75" customHeight="1" thickBot="1">
      <c r="A11" s="144" t="s">
        <v>400</v>
      </c>
      <c r="B11" s="142" t="s">
        <v>432</v>
      </c>
      <c r="C11" s="462">
        <v>0</v>
      </c>
      <c r="D11" s="462">
        <v>0</v>
      </c>
      <c r="E11" s="462">
        <v>0</v>
      </c>
      <c r="F11" s="462">
        <v>0</v>
      </c>
      <c r="G11" s="462">
        <v>0</v>
      </c>
      <c r="H11" s="462">
        <v>0</v>
      </c>
      <c r="I11" s="462">
        <v>0</v>
      </c>
      <c r="J11" s="463">
        <v>0</v>
      </c>
      <c r="K11" s="410">
        <v>0</v>
      </c>
      <c r="L11" s="410">
        <v>0</v>
      </c>
      <c r="M11" s="410">
        <v>0</v>
      </c>
    </row>
    <row r="12" spans="1:13" ht="30" customHeight="1" thickBot="1">
      <c r="A12" s="97">
        <v>5</v>
      </c>
      <c r="B12" s="387" t="s">
        <v>744</v>
      </c>
      <c r="C12" s="460">
        <v>5400000</v>
      </c>
      <c r="D12" s="460">
        <v>5400000</v>
      </c>
      <c r="E12" s="460">
        <v>4923000</v>
      </c>
      <c r="F12" s="460">
        <v>4287000</v>
      </c>
      <c r="G12" s="460">
        <v>3651000</v>
      </c>
      <c r="H12" s="460">
        <v>3015000</v>
      </c>
      <c r="I12" s="460">
        <v>2379000</v>
      </c>
      <c r="J12" s="474">
        <v>1743000</v>
      </c>
      <c r="K12" s="460">
        <v>1107000</v>
      </c>
      <c r="L12" s="460">
        <v>471000</v>
      </c>
      <c r="M12" s="481">
        <v>0</v>
      </c>
    </row>
    <row r="13" spans="1:13" ht="16.5" customHeight="1">
      <c r="A13" s="136">
        <v>6</v>
      </c>
      <c r="B13" s="478" t="s">
        <v>433</v>
      </c>
      <c r="C13" s="469">
        <v>0</v>
      </c>
      <c r="D13" s="469">
        <v>0</v>
      </c>
      <c r="E13" s="469">
        <v>0</v>
      </c>
      <c r="F13" s="469">
        <v>0</v>
      </c>
      <c r="G13" s="469">
        <v>0</v>
      </c>
      <c r="H13" s="469">
        <v>0</v>
      </c>
      <c r="I13" s="469">
        <v>0</v>
      </c>
      <c r="J13" s="469">
        <v>0</v>
      </c>
      <c r="K13" s="469">
        <v>0</v>
      </c>
      <c r="L13" s="473">
        <v>0</v>
      </c>
      <c r="M13" s="469">
        <v>0</v>
      </c>
    </row>
    <row r="14" spans="1:13" ht="15" customHeight="1">
      <c r="A14" s="140"/>
      <c r="B14" s="143" t="s">
        <v>434</v>
      </c>
      <c r="C14" s="461">
        <v>0</v>
      </c>
      <c r="D14" s="461">
        <v>0</v>
      </c>
      <c r="E14" s="461">
        <v>0</v>
      </c>
      <c r="F14" s="461">
        <v>0</v>
      </c>
      <c r="G14" s="461">
        <v>0</v>
      </c>
      <c r="H14" s="461">
        <v>0</v>
      </c>
      <c r="I14" s="461">
        <v>0</v>
      </c>
      <c r="J14" s="461">
        <v>0</v>
      </c>
      <c r="K14" s="461">
        <v>0</v>
      </c>
      <c r="L14" s="470">
        <v>0</v>
      </c>
      <c r="M14" s="461">
        <v>0</v>
      </c>
    </row>
    <row r="15" spans="1:13" ht="13.5" customHeight="1">
      <c r="A15" s="140"/>
      <c r="B15" s="143" t="s">
        <v>435</v>
      </c>
      <c r="C15" s="461">
        <v>0</v>
      </c>
      <c r="D15" s="461">
        <v>0</v>
      </c>
      <c r="E15" s="461">
        <v>0</v>
      </c>
      <c r="F15" s="461">
        <v>0</v>
      </c>
      <c r="G15" s="461">
        <v>0</v>
      </c>
      <c r="H15" s="461">
        <v>0</v>
      </c>
      <c r="I15" s="461">
        <v>0</v>
      </c>
      <c r="J15" s="461">
        <v>0</v>
      </c>
      <c r="K15" s="461">
        <v>0</v>
      </c>
      <c r="L15" s="470">
        <v>0</v>
      </c>
      <c r="M15" s="461">
        <v>0</v>
      </c>
    </row>
    <row r="16" spans="1:13" ht="15.75" customHeight="1">
      <c r="A16" s="140"/>
      <c r="B16" s="143" t="s">
        <v>436</v>
      </c>
      <c r="C16" s="461">
        <v>0</v>
      </c>
      <c r="D16" s="461">
        <v>0</v>
      </c>
      <c r="E16" s="461">
        <v>0</v>
      </c>
      <c r="F16" s="461">
        <v>0</v>
      </c>
      <c r="G16" s="461">
        <v>0</v>
      </c>
      <c r="H16" s="461">
        <v>0</v>
      </c>
      <c r="I16" s="461">
        <v>0</v>
      </c>
      <c r="J16" s="461">
        <v>0</v>
      </c>
      <c r="K16" s="461">
        <v>0</v>
      </c>
      <c r="L16" s="470">
        <v>0</v>
      </c>
      <c r="M16" s="461">
        <v>0</v>
      </c>
    </row>
    <row r="17" spans="1:13" ht="15.75" customHeight="1">
      <c r="A17" s="140"/>
      <c r="B17" s="143" t="s">
        <v>437</v>
      </c>
      <c r="C17" s="461">
        <v>0</v>
      </c>
      <c r="D17" s="461">
        <v>0</v>
      </c>
      <c r="E17" s="461">
        <v>0</v>
      </c>
      <c r="F17" s="461">
        <v>0</v>
      </c>
      <c r="G17" s="461">
        <v>0</v>
      </c>
      <c r="H17" s="461">
        <v>0</v>
      </c>
      <c r="I17" s="461">
        <v>0</v>
      </c>
      <c r="J17" s="461">
        <v>0</v>
      </c>
      <c r="K17" s="461">
        <v>0</v>
      </c>
      <c r="L17" s="470">
        <v>0</v>
      </c>
      <c r="M17" s="461">
        <v>0</v>
      </c>
    </row>
    <row r="18" spans="1:13" ht="19.5" customHeight="1">
      <c r="A18" s="140">
        <v>7</v>
      </c>
      <c r="B18" s="143" t="s">
        <v>439</v>
      </c>
      <c r="C18" s="461">
        <f>C9+C10+C12</f>
        <v>10217725</v>
      </c>
      <c r="D18" s="461">
        <f aca="true" t="shared" si="0" ref="D18:M18">D9+D10+D12</f>
        <v>9331725</v>
      </c>
      <c r="E18" s="461">
        <f t="shared" si="0"/>
        <v>7968725</v>
      </c>
      <c r="F18" s="461">
        <f t="shared" si="0"/>
        <v>6446725</v>
      </c>
      <c r="G18" s="461">
        <f t="shared" si="0"/>
        <v>4924725</v>
      </c>
      <c r="H18" s="461">
        <f>H9+H10+H12</f>
        <v>3385000</v>
      </c>
      <c r="I18" s="461">
        <f t="shared" si="0"/>
        <v>2379000</v>
      </c>
      <c r="J18" s="461">
        <f t="shared" si="0"/>
        <v>1743000</v>
      </c>
      <c r="K18" s="461">
        <f t="shared" si="0"/>
        <v>1107000</v>
      </c>
      <c r="L18" s="470">
        <f t="shared" si="0"/>
        <v>471000</v>
      </c>
      <c r="M18" s="470">
        <f t="shared" si="0"/>
        <v>0</v>
      </c>
    </row>
    <row r="19" spans="1:13" ht="19.5" customHeight="1" thickBot="1">
      <c r="A19" s="144">
        <v>8</v>
      </c>
      <c r="B19" s="479" t="s">
        <v>441</v>
      </c>
      <c r="C19" s="475">
        <v>22961237</v>
      </c>
      <c r="D19" s="480">
        <v>20073000</v>
      </c>
      <c r="E19" s="480">
        <v>20115000</v>
      </c>
      <c r="F19" s="480">
        <v>20570000</v>
      </c>
      <c r="G19" s="475">
        <v>20760000</v>
      </c>
      <c r="H19" s="480">
        <v>20965000</v>
      </c>
      <c r="I19" s="480">
        <v>20875000</v>
      </c>
      <c r="J19" s="475">
        <v>20965000</v>
      </c>
      <c r="K19" s="475">
        <v>20930000</v>
      </c>
      <c r="L19" s="480">
        <v>20760000</v>
      </c>
      <c r="M19" s="462">
        <v>20800000</v>
      </c>
    </row>
    <row r="20" spans="1:13" ht="21" customHeight="1">
      <c r="A20" s="6">
        <v>9</v>
      </c>
      <c r="B20" s="45" t="s">
        <v>442</v>
      </c>
      <c r="C20" s="476">
        <f aca="true" t="shared" si="1" ref="C20:M20">C18/C19</f>
        <v>0.4449988909569637</v>
      </c>
      <c r="D20" s="476">
        <f t="shared" si="1"/>
        <v>0.4648894036765805</v>
      </c>
      <c r="E20" s="476">
        <f t="shared" si="1"/>
        <v>0.39615833954760127</v>
      </c>
      <c r="F20" s="476">
        <f t="shared" si="1"/>
        <v>0.3134042294603792</v>
      </c>
      <c r="G20" s="476">
        <f t="shared" si="1"/>
        <v>0.23722182080924856</v>
      </c>
      <c r="H20" s="476">
        <f t="shared" si="1"/>
        <v>0.16145957548294776</v>
      </c>
      <c r="I20" s="476">
        <f t="shared" si="1"/>
        <v>0.11396407185628743</v>
      </c>
      <c r="J20" s="477">
        <f t="shared" si="1"/>
        <v>0.08313856427378966</v>
      </c>
      <c r="K20" s="477">
        <f t="shared" si="1"/>
        <v>0.05289058767319637</v>
      </c>
      <c r="L20" s="477">
        <f t="shared" si="1"/>
        <v>0.0226878612716763</v>
      </c>
      <c r="M20" s="482">
        <f t="shared" si="1"/>
        <v>0</v>
      </c>
    </row>
    <row r="21" spans="1:13" ht="27" customHeight="1" hidden="1" thickBot="1">
      <c r="A21" s="385">
        <v>9</v>
      </c>
      <c r="B21" s="384" t="s">
        <v>744</v>
      </c>
      <c r="C21" s="464"/>
      <c r="D21" s="464"/>
      <c r="E21" s="464"/>
      <c r="F21" s="464"/>
      <c r="G21" s="464"/>
      <c r="H21" s="464"/>
      <c r="I21" s="464"/>
      <c r="J21" s="464"/>
      <c r="K21" s="396"/>
      <c r="L21" s="396"/>
      <c r="M21" s="396"/>
    </row>
    <row r="22" spans="1:13" ht="13.5" customHeight="1">
      <c r="A22" s="312"/>
      <c r="B22" s="46"/>
      <c r="C22" s="465"/>
      <c r="D22" s="465"/>
      <c r="E22" s="465"/>
      <c r="F22" s="465"/>
      <c r="G22" s="465"/>
      <c r="H22" s="465"/>
      <c r="I22" s="466"/>
      <c r="J22" s="396"/>
      <c r="K22" s="396"/>
      <c r="L22" s="396"/>
      <c r="M22" s="396"/>
    </row>
    <row r="23" spans="2:13" ht="17.25" customHeight="1">
      <c r="B23" s="327" t="s">
        <v>853</v>
      </c>
      <c r="C23" s="405">
        <v>750000</v>
      </c>
      <c r="D23" s="405">
        <v>750000</v>
      </c>
      <c r="E23" s="405">
        <v>750000</v>
      </c>
      <c r="F23" s="467">
        <v>750000</v>
      </c>
      <c r="G23" s="467">
        <v>750000</v>
      </c>
      <c r="H23" s="467">
        <v>767725</v>
      </c>
      <c r="I23" s="405">
        <v>0</v>
      </c>
      <c r="J23" s="405">
        <v>0</v>
      </c>
      <c r="K23" s="405">
        <v>0</v>
      </c>
      <c r="L23" s="405">
        <v>0</v>
      </c>
      <c r="M23" s="405">
        <v>0</v>
      </c>
    </row>
    <row r="24" spans="2:13" ht="12.75">
      <c r="B24" s="327" t="s">
        <v>854</v>
      </c>
      <c r="C24" s="405"/>
      <c r="D24" s="405"/>
      <c r="E24" s="405"/>
      <c r="F24" s="467"/>
      <c r="G24" s="467"/>
      <c r="H24" s="467"/>
      <c r="I24" s="405"/>
      <c r="J24" s="405"/>
      <c r="K24" s="405"/>
      <c r="L24" s="405"/>
      <c r="M24" s="405"/>
    </row>
    <row r="25" spans="2:13" ht="12" customHeight="1">
      <c r="B25" s="11" t="s">
        <v>815</v>
      </c>
      <c r="C25" s="405">
        <v>0</v>
      </c>
      <c r="D25" s="405">
        <v>30000</v>
      </c>
      <c r="E25" s="405">
        <v>30000</v>
      </c>
      <c r="F25" s="405">
        <v>50000</v>
      </c>
      <c r="G25" s="405">
        <v>100000</v>
      </c>
      <c r="H25" s="405">
        <v>100000</v>
      </c>
      <c r="I25" s="405">
        <v>370000</v>
      </c>
      <c r="J25" s="405">
        <v>0</v>
      </c>
      <c r="K25" s="405">
        <v>0</v>
      </c>
      <c r="L25" s="405">
        <v>0</v>
      </c>
      <c r="M25" s="405">
        <v>0</v>
      </c>
    </row>
    <row r="26" spans="2:13" ht="12.75" hidden="1">
      <c r="B26" s="110"/>
      <c r="C26" s="410"/>
      <c r="D26" s="410"/>
      <c r="E26" s="410"/>
      <c r="F26" s="410"/>
      <c r="G26" s="410"/>
      <c r="H26" s="410"/>
      <c r="I26" s="410"/>
      <c r="J26" s="410"/>
      <c r="K26" s="410"/>
      <c r="L26" s="410"/>
      <c r="M26" s="410"/>
    </row>
    <row r="27" spans="2:13" ht="12.75">
      <c r="B27" s="119" t="s">
        <v>656</v>
      </c>
      <c r="C27" s="468"/>
      <c r="D27" s="410"/>
      <c r="E27" s="410"/>
      <c r="F27" s="410"/>
      <c r="G27" s="410"/>
      <c r="H27" s="468"/>
      <c r="I27" s="468"/>
      <c r="J27" s="410"/>
      <c r="K27" s="410"/>
      <c r="L27" s="468"/>
      <c r="M27" s="410"/>
    </row>
    <row r="28" spans="2:13" ht="12.75">
      <c r="B28" s="115" t="s">
        <v>814</v>
      </c>
      <c r="C28" s="435"/>
      <c r="D28" s="407">
        <v>70000</v>
      </c>
      <c r="E28" s="407">
        <v>70000</v>
      </c>
      <c r="F28" s="407">
        <v>50000</v>
      </c>
      <c r="G28" s="407">
        <v>0</v>
      </c>
      <c r="H28" s="435">
        <v>0</v>
      </c>
      <c r="I28" s="435">
        <v>0</v>
      </c>
      <c r="J28" s="407">
        <v>0</v>
      </c>
      <c r="K28" s="407">
        <v>0</v>
      </c>
      <c r="L28" s="435">
        <v>0</v>
      </c>
      <c r="M28" s="407">
        <v>0</v>
      </c>
    </row>
    <row r="29" spans="2:13" ht="12.75">
      <c r="B29" s="115" t="s">
        <v>855</v>
      </c>
      <c r="C29" s="435">
        <v>0</v>
      </c>
      <c r="D29" s="407">
        <v>36000</v>
      </c>
      <c r="E29" s="407">
        <v>36000</v>
      </c>
      <c r="F29" s="407">
        <v>36000</v>
      </c>
      <c r="G29" s="407">
        <v>36000</v>
      </c>
      <c r="H29" s="435">
        <v>36000</v>
      </c>
      <c r="I29" s="435">
        <v>0</v>
      </c>
      <c r="J29" s="407">
        <v>0</v>
      </c>
      <c r="K29" s="405">
        <v>0</v>
      </c>
      <c r="L29" s="405">
        <v>0</v>
      </c>
      <c r="M29" s="407">
        <v>0</v>
      </c>
    </row>
    <row r="30" spans="2:13" ht="12.75">
      <c r="B30" s="20" t="s">
        <v>657</v>
      </c>
      <c r="C30" s="430">
        <f aca="true" t="shared" si="2" ref="C30:M30">SUM(C23:C29)</f>
        <v>750000</v>
      </c>
      <c r="D30" s="430">
        <f t="shared" si="2"/>
        <v>886000</v>
      </c>
      <c r="E30" s="430">
        <f t="shared" si="2"/>
        <v>886000</v>
      </c>
      <c r="F30" s="430">
        <f t="shared" si="2"/>
        <v>886000</v>
      </c>
      <c r="G30" s="430">
        <f t="shared" si="2"/>
        <v>886000</v>
      </c>
      <c r="H30" s="430">
        <f t="shared" si="2"/>
        <v>903725</v>
      </c>
      <c r="I30" s="430">
        <f t="shared" si="2"/>
        <v>370000</v>
      </c>
      <c r="J30" s="430">
        <f t="shared" si="2"/>
        <v>0</v>
      </c>
      <c r="K30" s="430">
        <f t="shared" si="2"/>
        <v>0</v>
      </c>
      <c r="L30" s="430">
        <f t="shared" si="2"/>
        <v>0</v>
      </c>
      <c r="M30" s="430">
        <f t="shared" si="2"/>
        <v>0</v>
      </c>
    </row>
    <row r="31" spans="1:10" ht="12.75">
      <c r="A31" t="s">
        <v>842</v>
      </c>
      <c r="B31" s="275"/>
      <c r="C31" s="202"/>
      <c r="D31" s="202"/>
      <c r="E31" s="202"/>
      <c r="F31" s="202"/>
      <c r="G31" s="202"/>
      <c r="H31" s="202"/>
      <c r="I31" s="202"/>
      <c r="J31" s="202"/>
    </row>
    <row r="32" spans="2:3" ht="40.5" customHeight="1">
      <c r="B32" t="s">
        <v>27</v>
      </c>
      <c r="C32" s="386" t="s">
        <v>803</v>
      </c>
    </row>
  </sheetData>
  <mergeCells count="5">
    <mergeCell ref="B4:D4"/>
    <mergeCell ref="A5:A6"/>
    <mergeCell ref="B5:B6"/>
    <mergeCell ref="I1:L1"/>
    <mergeCell ref="C5:M5"/>
  </mergeCells>
  <printOptions/>
  <pageMargins left="0.1968503937007874" right="0.1968503937007874" top="0.3937007874015748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Olecku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Jurczak</dc:creator>
  <cp:keywords/>
  <dc:description/>
  <cp:lastModifiedBy>halina</cp:lastModifiedBy>
  <cp:lastPrinted>2003-03-04T07:18:56Z</cp:lastPrinted>
  <dcterms:created xsi:type="dcterms:W3CDTF">2002-03-22T09:59:04Z</dcterms:created>
  <dcterms:modified xsi:type="dcterms:W3CDTF">2002-03-26T13:53:53Z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