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4"/>
  </bookViews>
  <sheets>
    <sheet name="Z 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 6" sheetId="7" r:id="rId7"/>
    <sheet name="z 7  " sheetId="8" r:id="rId8"/>
    <sheet name="z 8" sheetId="9" r:id="rId9"/>
    <sheet name="z 9" sheetId="10" r:id="rId10"/>
    <sheet name="z10" sheetId="11" r:id="rId11"/>
    <sheet name="z 11" sheetId="12" r:id="rId12"/>
    <sheet name="Z12" sheetId="13" r:id="rId13"/>
    <sheet name="z 13" sheetId="14" r:id="rId14"/>
    <sheet name="syt.fin" sheetId="15" r:id="rId15"/>
  </sheets>
  <definedNames>
    <definedName name="_xlnm.Print_Area" localSheetId="0">'Z 1'!$A$1:$T$411</definedName>
    <definedName name="_xlnm.Print_Area" localSheetId="2">'Z 2'!$A$1:$O$615</definedName>
    <definedName name="_xlnm.Print_Area" localSheetId="3">'Z 3 '!$A$1:$G$156</definedName>
    <definedName name="_xlnm.Print_Area" localSheetId="5">'Z 5 '!$A$1:$F$120</definedName>
    <definedName name="_xlnm.Print_Area" localSheetId="6">'z 6'!$A$1:$E$38</definedName>
    <definedName name="_xlnm.Print_Titles" localSheetId="0">'Z 1'!$12:$16</definedName>
    <definedName name="_xlnm.Print_Titles" localSheetId="2">'Z 2'!$4:$8</definedName>
  </definedNames>
  <calcPr fullCalcOnLoad="1"/>
</workbook>
</file>

<file path=xl/sharedStrings.xml><?xml version="1.0" encoding="utf-8"?>
<sst xmlns="http://schemas.openxmlformats.org/spreadsheetml/2006/main" count="2730" uniqueCount="946">
  <si>
    <t>Załącznik nr 1 do uchwały Rady Powiatu w Olecku nr XXV/189/04 z dnia 28 grudnia 2004 r.</t>
  </si>
  <si>
    <t>Załącznik nr 1a do uchwały nr XXV/189/04 Rady Powiatu w Olecku z dnia 28.12.2004 r.</t>
  </si>
  <si>
    <t>Załącznik nr 2 do Uchwały Rady Powiatu w Olecku Nr XXV/189/04 z dnia 28 grudnia 2004 r.</t>
  </si>
  <si>
    <t xml:space="preserve">Załącznik nr 3 do Uchwały Rady Powiatu w Olecku Nr XXV/189/04 z dn. 28.12.2004 </t>
  </si>
  <si>
    <t xml:space="preserve">Załącznik nr 4 do Uchwały Rady Powiatu w Olecku Nr XXV/189/04 z dn. 28.12.2004r. </t>
  </si>
  <si>
    <t>Załącznik nr 5 do Uchwały Rady Powiatu w Olecku Nr XXV/189/04 z dnia 28.12.2004</t>
  </si>
  <si>
    <t>Zał nr 6 do Uchwały       nr XXV/189/04                     z dn.28.12.2004 r.</t>
  </si>
  <si>
    <t>Załącznik Nr 7 do Uchwały Rady Powiatu w Olecku Nr XXV/189/04 z dnia 28.12.2004</t>
  </si>
  <si>
    <t>Załącznik nr 8 do Uchwały Rady Powiatu w Olecku Nr XXV/189/04 z dnia 28.12.2004</t>
  </si>
  <si>
    <t>Załącznik nr 9 do Uchwały Rady Powiatu w Olecku Nr XXV/189/04 z dnia 28.12.2004</t>
  </si>
  <si>
    <t>Załącznik Nr 10 do Uchwały Rady Powiatu w Olecku Nr XXV/189/04 z dnia 28.12.2004</t>
  </si>
  <si>
    <t>Załącznik nr 11 do Uchwały Rady Powiatu Nr XXV/189/04   z dnia 28.12.2004</t>
  </si>
  <si>
    <t>Załącznik Nr 12 do Uchwały Rady Powiatu Nr XXV/189/04 z dnia 28.12.2004</t>
  </si>
  <si>
    <t>Zał. Nr 14 do uchwały Rady Powiatu Nr XXV/189/04 z dnia 28.12.2004</t>
  </si>
  <si>
    <t>dot. cel. z budż. na finans. lub dofin. koszt. realiz. inwest. i zak. inwest. innych jed. sekt. fin.publ.</t>
  </si>
  <si>
    <t>85117</t>
  </si>
  <si>
    <t>Zakł. opiek - lecznicze i pielęgnacyjno -opiekuncze</t>
  </si>
  <si>
    <t>85121</t>
  </si>
  <si>
    <t>Lecznictwo ambulatoryjne</t>
  </si>
  <si>
    <t>85132</t>
  </si>
  <si>
    <t>Inspekcja Sanitarna</t>
  </si>
  <si>
    <t>Nagr.i wydat.nie zal.do wynagr.</t>
  </si>
  <si>
    <t>rózne wydatki na rzecz os.fiz.</t>
  </si>
  <si>
    <t>85141</t>
  </si>
  <si>
    <t>Ratownictwo medyczne</t>
  </si>
  <si>
    <t>85156</t>
  </si>
  <si>
    <t>skł. na ubezp. zdrow.osób nie obj. obow.ubezp.zdrow.</t>
  </si>
  <si>
    <t>4130</t>
  </si>
  <si>
    <t>Składki na ubezp.zdrow.</t>
  </si>
  <si>
    <t>4600</t>
  </si>
  <si>
    <t>kary i odszkodowania wypł.na rzecz os.pr.i innych jedn.org.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</si>
  <si>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</si>
  <si>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</si>
  <si>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</si>
  <si>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</si>
  <si>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</si>
  <si>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</si>
  <si>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2830</t>
  </si>
  <si>
    <t>Dot.cel.na zad.zlec.jedn.nie zal.do sektora fin.publ.</t>
  </si>
  <si>
    <t>Domy Pomocy Społecznej</t>
  </si>
  <si>
    <t>Nagr.i wydatki nie zal.do wynagrodzeń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</si>
  <si>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</si>
  <si>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</si>
  <si>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</si>
  <si>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</si>
  <si>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</si>
  <si>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</si>
  <si>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</si>
  <si>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Załacznik Nr 13 do Uchwały Rady Powiatu  w Olecku NrXXV/189/04/ z dnia28.12.2004 r.</t>
  </si>
  <si>
    <t>Ośr. adopcyjno-opiekuńcze</t>
  </si>
  <si>
    <t>Składki na Fundusz Pracy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</si>
  <si>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</si>
  <si>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</si>
  <si>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</si>
  <si>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</si>
  <si>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</si>
  <si>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</si>
  <si>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</si>
  <si>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Wydatki na inwestycje</t>
  </si>
  <si>
    <t>4590</t>
  </si>
  <si>
    <t>85406</t>
  </si>
  <si>
    <t>Poradnie Psychol- Pedagog.</t>
  </si>
  <si>
    <t>85410</t>
  </si>
  <si>
    <t>Internaty i bursy szkolne</t>
  </si>
  <si>
    <t>Wyd.na zakupy inwest. jed.budż</t>
  </si>
  <si>
    <t>85412</t>
  </si>
  <si>
    <t>Kolonie i obozy oraz inne formy wypoczynu dzieci i młodzieży  szkolnej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</si>
  <si>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</si>
  <si>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</si>
  <si>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</si>
  <si>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</si>
  <si>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</si>
  <si>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 xml:space="preserve">Składki na ubez.społ. </t>
  </si>
  <si>
    <t>różne wydatki na rzecz os.fiz.</t>
  </si>
  <si>
    <t>85495</t>
  </si>
  <si>
    <t>921</t>
  </si>
  <si>
    <t>KULTURA I OCHRONA DZIEDZICTWA NAROD.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</si>
  <si>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</si>
  <si>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</si>
  <si>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</si>
  <si>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</si>
  <si>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</si>
  <si>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</si>
  <si>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</si>
  <si>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</si>
  <si>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</si>
  <si>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</si>
  <si>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</si>
  <si>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</si>
  <si>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</si>
  <si>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</si>
  <si>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</si>
  <si>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</si>
  <si>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</si>
  <si>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</si>
  <si>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wpływy od rodziców z tyt. odpłatności za utrzymanie dzieci</t>
  </si>
  <si>
    <t>0680</t>
  </si>
  <si>
    <t>wpływy od rodziców z tyt.odpłatności z utrzym.dzieci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</si>
  <si>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</si>
  <si>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</si>
  <si>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</si>
  <si>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</si>
  <si>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</si>
  <si>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</si>
  <si>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</si>
  <si>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</si>
  <si>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</si>
  <si>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</si>
  <si>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</si>
  <si>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235</t>
  </si>
  <si>
    <t>Inspekcja sanitarna</t>
  </si>
  <si>
    <t>II</t>
  </si>
  <si>
    <t>DOCHODY I WYDATKI ZWIĄZANE Z REALIZACJĄ ZADAŃ ZLECONYCH</t>
  </si>
  <si>
    <t>211</t>
  </si>
  <si>
    <t>Prace geodezyjno - urządzeniowe na potrzeby rolnictwa</t>
  </si>
  <si>
    <t>I. Udziały we wpływach z podatków stanowiących dochody państwa (PIT i CIT)</t>
  </si>
  <si>
    <t>II. Dochody z majątku powiatu</t>
  </si>
  <si>
    <t xml:space="preserve">    1. Ze sprzedaży</t>
  </si>
  <si>
    <t>Struktura               %-owa planu dochodów</t>
  </si>
  <si>
    <t>Dotacja dla sam.wojew.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</si>
  <si>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</si>
  <si>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</si>
  <si>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</si>
  <si>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</si>
  <si>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</si>
  <si>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</si>
  <si>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</si>
  <si>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</si>
  <si>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</si>
  <si>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</si>
  <si>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</si>
  <si>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</si>
  <si>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</si>
  <si>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 xml:space="preserve"> 4. Dotacje uzyskane z funduszy celowych (§§ 244,626)</t>
  </si>
  <si>
    <t>B. Ogółem subwencje i dotacje (V i VI)</t>
  </si>
  <si>
    <t>DOCHODY OGÓŁEM ( A+B )</t>
  </si>
  <si>
    <t>Inspekcja weterynaryjna</t>
  </si>
  <si>
    <t>Dodatkowe wynagr. roczne</t>
  </si>
  <si>
    <t>Rehabilitacja zawodowa i społ. osób niepełnosprawnych</t>
  </si>
  <si>
    <t>Gmina Olecko</t>
  </si>
  <si>
    <t>"Mazurskie Centrum Edukacji  i Inicjatyw Lokalnych" ( przy internacie ZSLiZ w Olecku)</t>
  </si>
  <si>
    <t xml:space="preserve">środki ze źródeł zagran.niepodlegające zwrotowi </t>
  </si>
  <si>
    <t xml:space="preserve">Składki na ubezp. społeczne </t>
  </si>
  <si>
    <t>SYTUACJA FINANSOWA POWIATU</t>
  </si>
  <si>
    <t>L.p.</t>
  </si>
  <si>
    <t>A.</t>
  </si>
  <si>
    <t>Dochody własne, w tym:</t>
  </si>
  <si>
    <t>dochody z majątku</t>
  </si>
  <si>
    <t>udziały we wpływach z PDOF i PDOP</t>
  </si>
  <si>
    <t>wpłaty od jednostek org.</t>
  </si>
  <si>
    <t>pozostałe dochody</t>
  </si>
  <si>
    <t>B.</t>
  </si>
  <si>
    <t>Subwencje</t>
  </si>
  <si>
    <t>C.</t>
  </si>
  <si>
    <t>Dotacje</t>
  </si>
  <si>
    <t>Wydatki ogółem</t>
  </si>
  <si>
    <t>Spłaty pożyczek i kredytów (A+B)</t>
  </si>
  <si>
    <t>Spłata zaciągniętych pożyczek i kredytów</t>
  </si>
  <si>
    <t>w tym: spłata rat</t>
  </si>
  <si>
    <t>odsetki</t>
  </si>
  <si>
    <t>Spłata pożyczek i kredytu planowanych do zaciągnięcia</t>
  </si>
  <si>
    <t>Wykup papier. wart. i dyskonto weksli</t>
  </si>
  <si>
    <t>Wynik (I-II)</t>
  </si>
  <si>
    <t>Planowana łączna kwota długu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</si>
  <si>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</si>
  <si>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</si>
  <si>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</si>
  <si>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</si>
  <si>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</si>
  <si>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</si>
  <si>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</si>
  <si>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dochody z najmu i dzierżawy skł.majątkowych</t>
  </si>
  <si>
    <t>wpływy ze sprzed.skł.majątkowych</t>
  </si>
  <si>
    <t>wpływy ze sprzedaży skł.majątkowych</t>
  </si>
  <si>
    <t xml:space="preserve">dochody z najmu i dzierżawy skł.majątkowych </t>
  </si>
  <si>
    <t>Prace geodezyjne i kartograficzne (nieinwest.)</t>
  </si>
  <si>
    <t xml:space="preserve">dot. na inwestycje </t>
  </si>
  <si>
    <t>85311</t>
  </si>
  <si>
    <t>Rehabilitacja zawodowa i społ. Osób niepelnosprawnych</t>
  </si>
  <si>
    <t>dotacja cel.przekazana gminie</t>
  </si>
  <si>
    <t>dotacje celowe przekaz.gminie</t>
  </si>
  <si>
    <t>dotacje celowe przekazane gminie</t>
  </si>
  <si>
    <t>dotacje podmiot.dla jednostek nie zal. do sektora fin.publ.</t>
  </si>
  <si>
    <t>Łączne nakłady finansowe (6+12+13)</t>
  </si>
  <si>
    <t>Komendy Powiatowe Państwowej Straży Pożarnej</t>
  </si>
  <si>
    <t>Wynagr.osobow.korpusu służby cywilnej</t>
  </si>
  <si>
    <t>Uposaż.żołnierzy zawod. i nadtermin.oraz funkcjon. zwol. ze służby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</si>
  <si>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</si>
  <si>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</si>
  <si>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</si>
  <si>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</si>
  <si>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</si>
  <si>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</si>
  <si>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</si>
  <si>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</si>
  <si>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Dochody i wydatki związane z realizacją zadań wspólnych realizowanych w drodze umów (porozumień) z jednostkami samorządu terytorialnego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</si>
  <si>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</si>
  <si>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</si>
  <si>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</si>
  <si>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</si>
  <si>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</si>
  <si>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</si>
  <si>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</si>
  <si>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 xml:space="preserve">RAZEM 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</si>
  <si>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</si>
  <si>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</si>
  <si>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</si>
  <si>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</si>
  <si>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</si>
  <si>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</si>
  <si>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</si>
  <si>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</si>
  <si>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</si>
  <si>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</si>
  <si>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</si>
  <si>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</si>
  <si>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</si>
  <si>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</si>
  <si>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</si>
  <si>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</si>
  <si>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</si>
  <si>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</si>
  <si>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</si>
  <si>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</si>
  <si>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</si>
  <si>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 xml:space="preserve">Struktura %-owa </t>
  </si>
  <si>
    <t>1. Dotacje celowe na zadania własne powiatu § 213,                   § 643</t>
  </si>
  <si>
    <t xml:space="preserve">2. Dotacje celowe na zadania z zakr.administr.rządowej wykonywane przez powiat oraz na realiz.zadań  zleconych ustawami § 211 </t>
  </si>
  <si>
    <t>3.Dotacje celowe na zadania realizowane w drodze umów (porozumień) z jst i adm. rządową (§§212,231,232,642, 661,663)</t>
  </si>
  <si>
    <t xml:space="preserve"> 5.Pozostałe dotacje i środki z innych źródeł</t>
  </si>
  <si>
    <t>Struktura %-owa planu wydatków</t>
  </si>
  <si>
    <t>Plan  2005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</si>
  <si>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</si>
  <si>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</si>
  <si>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</si>
  <si>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</si>
  <si>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</si>
  <si>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</si>
  <si>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</si>
  <si>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</si>
  <si>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</si>
  <si>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</si>
  <si>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</si>
  <si>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</si>
  <si>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VI</t>
  </si>
  <si>
    <t>Prognoza kwoty długu powiatu</t>
  </si>
  <si>
    <t>Rodzaj zadłużenia</t>
  </si>
  <si>
    <t>Wyemitowane papiery wartościowe</t>
  </si>
  <si>
    <t>Wymagalne zobowiązania, wynik. z nast. tytułów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</si>
  <si>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</si>
  <si>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</si>
  <si>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</si>
  <si>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</si>
  <si>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</si>
  <si>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</si>
  <si>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</si>
  <si>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</si>
  <si>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</si>
  <si>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</si>
  <si>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</si>
  <si>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</si>
  <si>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</si>
  <si>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</si>
  <si>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</si>
  <si>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</si>
  <si>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Wydatki na zakupy inwest.j.budż.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</si>
  <si>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</si>
  <si>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</si>
  <si>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</si>
  <si>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</si>
  <si>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</si>
  <si>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</si>
  <si>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4307</t>
  </si>
  <si>
    <t>Wydatki  inwest.jednostek budżet.</t>
  </si>
  <si>
    <t>6059</t>
  </si>
  <si>
    <t>Wydatki inwest.jednostek budżet.</t>
  </si>
  <si>
    <t>Koszty postępow. sądow. i prok.</t>
  </si>
  <si>
    <t>uposaż. fun.zwalnianych ze służby</t>
  </si>
  <si>
    <t>Wyn.osob. korpusu sł.cywilnej</t>
  </si>
  <si>
    <t>Rozdz.</t>
  </si>
  <si>
    <t>Nagr.i wyd. nie zal. do wynagr.</t>
  </si>
  <si>
    <t>Dotacje celowe przek.gminie</t>
  </si>
  <si>
    <t>Dotacje celowe przek.powiatowi</t>
  </si>
  <si>
    <t>85212</t>
  </si>
  <si>
    <t>Świad.rodzinne oraz składki na ubezp.emeryt.i rentowe</t>
  </si>
  <si>
    <t>3110 Świadczenia społeczne</t>
  </si>
  <si>
    <t>wydatki inwestycyjne (§§ 6050,6052,6059,6060)</t>
  </si>
  <si>
    <t>Dot. cel.przekazane powiatowi</t>
  </si>
  <si>
    <t>Stypendia różne</t>
  </si>
  <si>
    <t>Procentowy (%) udział długu w dochodach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</si>
  <si>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</si>
  <si>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</si>
  <si>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</si>
  <si>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</si>
  <si>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</si>
  <si>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</si>
  <si>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</si>
  <si>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</si>
  <si>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</si>
  <si>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</si>
  <si>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</si>
  <si>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</si>
  <si>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</si>
  <si>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Starostwo Powiatowe w Olecku</t>
  </si>
  <si>
    <t>OGÓŁEM</t>
  </si>
  <si>
    <t>Przewodniczący Rady Powiatu: Juliusz Uss</t>
  </si>
  <si>
    <t xml:space="preserve">Dział </t>
  </si>
  <si>
    <t>Nazwa zad.inwest.</t>
  </si>
  <si>
    <t xml:space="preserve">Ogółem 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</si>
  <si>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</si>
  <si>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</si>
  <si>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</si>
  <si>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</si>
  <si>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</si>
  <si>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</si>
  <si>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</si>
  <si>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</si>
  <si>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</si>
  <si>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DOCHODY WŁASNE OGÓŁEM</t>
  </si>
  <si>
    <t>Rolnictwo i łowiectwo</t>
  </si>
  <si>
    <t>a)</t>
  </si>
  <si>
    <t>Opieka społeczna*</t>
  </si>
  <si>
    <t>85301</t>
  </si>
  <si>
    <t>85302</t>
  </si>
  <si>
    <t>85304</t>
  </si>
  <si>
    <t>6292</t>
  </si>
  <si>
    <t>01028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</si>
  <si>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</si>
  <si>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</si>
  <si>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</si>
  <si>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</si>
  <si>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</si>
  <si>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</si>
  <si>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069</t>
  </si>
  <si>
    <t>Transport i Łączność</t>
  </si>
  <si>
    <t>drogi publiczne powiatowe</t>
  </si>
  <si>
    <t>dochody z najmu i dzierżawy składników majątkowych</t>
  </si>
  <si>
    <t>075</t>
  </si>
  <si>
    <t>wpływy z usług</t>
  </si>
  <si>
    <t>083</t>
  </si>
  <si>
    <t>Wpływy z różnych odochodów</t>
  </si>
  <si>
    <t>097</t>
  </si>
  <si>
    <t>Gospodarka mieszkaniowa oraz niemat.usł.komun.</t>
  </si>
  <si>
    <t>Gospodarka gruntami i nieruchomościami.</t>
  </si>
  <si>
    <t>wpływy ze sprzedaży wyrobów skł.majątk.</t>
  </si>
  <si>
    <t>084</t>
  </si>
  <si>
    <t>Rezerwa celowa na ubezpieczenia majątkowe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</si>
  <si>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</si>
  <si>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</si>
  <si>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</si>
  <si>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</si>
  <si>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</si>
  <si>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</si>
  <si>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</si>
  <si>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</si>
  <si>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</si>
  <si>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</si>
  <si>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</si>
  <si>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</si>
  <si>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</si>
  <si>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</si>
  <si>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</si>
  <si>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</si>
  <si>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</si>
  <si>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</si>
  <si>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</si>
  <si>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</si>
  <si>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</si>
  <si>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</si>
  <si>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</si>
  <si>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dochody z najmu i dzierżawy składników majątkowych Skarbu Państwa lub j.s.t. oraz innych umów o podobym charakterze</t>
  </si>
  <si>
    <t>Wpływy z różnych dochodów</t>
  </si>
  <si>
    <t>c)</t>
  </si>
  <si>
    <t>Ochrona zdrowia</t>
  </si>
  <si>
    <t>Opieka Społeczna</t>
  </si>
  <si>
    <t>d)</t>
  </si>
  <si>
    <t>Powiatowe Centra Pomocy Rodzinie</t>
  </si>
  <si>
    <t>e)</t>
  </si>
  <si>
    <t>PFRON</t>
  </si>
  <si>
    <t>Edukacyjna opieka wychowawcza</t>
  </si>
  <si>
    <t>Poradnie psychol - pedag. oraz inne poradnie specjalistyczne</t>
  </si>
  <si>
    <t>ŚRODKI POZYSKANE Z INNYCH ŹRÓDEŁ</t>
  </si>
  <si>
    <t>dotacje celowe otrzymane od samorządu wojewódzkiego na inwestycje w ramach zawartych umów</t>
  </si>
  <si>
    <t>663</t>
  </si>
  <si>
    <t>DOTACJE CEL. OTRZYM. Z GMINY NA ZADANIA BIEŻ.REALIZ.NA PODST.POROZ.(UMÓW) MIĘDZY J.S.T.</t>
  </si>
  <si>
    <t>Dotacje cel.otrzym.z powiatu na zad.bież.realiz.na podst.poroz.między jst</t>
  </si>
  <si>
    <t>Bezpieczeństwo publiczne i ochr.przeciwpoż.</t>
  </si>
  <si>
    <t>Komendy powiatowe policji</t>
  </si>
  <si>
    <t>Dotacje cel.otrzym.z gminy na zad.bież.realiz.na podst.poroz.między jst</t>
  </si>
  <si>
    <t>Komendy powiatowe państwowej straży pożarnej</t>
  </si>
  <si>
    <t>§ 2710 wydatki na pomoc finansową udzielaną na podstawie porozumień z jst na dofinansow. zadań bieżących</t>
  </si>
  <si>
    <t>§ 3030 wydatki na rzecz osób fizycznych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</si>
  <si>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</si>
  <si>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</si>
  <si>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 xml:space="preserve">Kredyty   zaciągnięte                                                                </t>
  </si>
  <si>
    <t>Spłata kredytów zaciągniętych</t>
  </si>
  <si>
    <t>Spłata  pożyczek  zaciągniętych</t>
  </si>
  <si>
    <t>Spłata kredytów  planowanych do zaciągnięcia (1.114.830 zł)</t>
  </si>
  <si>
    <t>DOTACJE CEL. OTRZYM. Z GMINY NA INWEST. REALIZ.NA PODST.POROZ.(UMÓW) ZAWARTYCH MIĘDZY J.S.T.</t>
  </si>
  <si>
    <t>Dotacje cel.otrzym.z gminy na inwest.i zakupy inwest.realiz.na podst.poroz.między jst</t>
  </si>
  <si>
    <t>DOTACJE CELOWE NA ZADANIA WŁASNE POWIATU</t>
  </si>
  <si>
    <t xml:space="preserve">dotacje cel. przek. z budżetu pań. na realiz.zad. wł. powiatu </t>
  </si>
  <si>
    <t>Leśnictwo</t>
  </si>
  <si>
    <t>dotacje celowe na inwestycje</t>
  </si>
  <si>
    <t>Kolonie i obozy oraz inne formy wypocz. dzieci i młodz. szkolnej</t>
  </si>
  <si>
    <t>IV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</si>
  <si>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</si>
  <si>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</si>
  <si>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</si>
  <si>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</si>
  <si>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</si>
  <si>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</si>
  <si>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</si>
  <si>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</si>
  <si>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</si>
  <si>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213</t>
  </si>
  <si>
    <t>Pomoc materialna dla uczniów</t>
  </si>
  <si>
    <t>DOTACJE CELOWE NA ZADANIA Z ZAKRESU ADMINISTRACJI RZĄDOWEJ</t>
  </si>
  <si>
    <t xml:space="preserve">Gospodarka mieszkaniowa </t>
  </si>
  <si>
    <t>Gospodarka gruntami i nieruchom.</t>
  </si>
  <si>
    <t>Działalność usługowa</t>
  </si>
  <si>
    <t>Ochrona Zdrowia</t>
  </si>
  <si>
    <t>Skł.na ubezp.zdrow.dla os.nie obj.obow.ubezp.</t>
  </si>
  <si>
    <t>zasiłki rodzinne, piel.i wychowaw.</t>
  </si>
  <si>
    <t>Powiat.Centr.Pomocy Rodzinie</t>
  </si>
  <si>
    <t>Zespoły ds. orzek. o stopniu niep</t>
  </si>
  <si>
    <t>DOTACJE Z F-SZY CELOWYCH NA FINANS.LUB DOFIN. KOSZTÓW REALIZ.INWEST.I ZAKUPÓW INWEST. JEDN. SEKT.FIN.PUBL.</t>
  </si>
  <si>
    <t>nagr.i wydatki nie zal.do wynagr.</t>
  </si>
  <si>
    <t>Kredyty planowane do zaciągnięcia</t>
  </si>
  <si>
    <t>Prognoza na lata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</si>
  <si>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</si>
  <si>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</si>
  <si>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</si>
  <si>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</si>
  <si>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Fund.Ochr.Środ.i Gosp.Wodnej</t>
  </si>
  <si>
    <t>Dot. z f. cel.na zad. bież j.s.f.p.</t>
  </si>
  <si>
    <t>SUBWENCJA</t>
  </si>
  <si>
    <t>część oświatowa subwencji ogólnej dla j.s.t.</t>
  </si>
  <si>
    <t>część wyrównawcza subwencji ogólnej dla powiatów</t>
  </si>
  <si>
    <t>DOCHODY OGÓŁEM</t>
  </si>
  <si>
    <t>1. Dotacje celowe</t>
  </si>
  <si>
    <t>§ 6270-dotacja z funduszy celowych na realizację inwestycji jednostek niezaliczanych do sektora finansów publicznych</t>
  </si>
  <si>
    <t>§ 2450-dotacje przekazane z funduszy celowych na realizację zadań bieżących dla jednostek niezalicznych do sektora finansów publicznych</t>
  </si>
  <si>
    <t>- uzysk.z f.celowych (§ 244, 626)</t>
  </si>
  <si>
    <t>Komendy powiatowe PSP</t>
  </si>
  <si>
    <t>/+/ zwiększenia</t>
  </si>
  <si>
    <t xml:space="preserve"> /-/ zmniejszenia</t>
  </si>
  <si>
    <t>Zmiana planu</t>
  </si>
  <si>
    <t>zmiana planu</t>
  </si>
  <si>
    <t>Dotacje na inwestycje własne</t>
  </si>
  <si>
    <t>Wpłaty na PFRON</t>
  </si>
  <si>
    <t>096</t>
  </si>
  <si>
    <t>Spadki, zapisy i darowizny w formie pieniężnej</t>
  </si>
  <si>
    <t>STAROSTWO POWIATOWE W OLECKU</t>
  </si>
  <si>
    <t>POWIATOWY ZARZĄD DRÓG W OLECKU</t>
  </si>
  <si>
    <t>DOTACJE Z BUDŻETU PAŃSTWA NA REALIZACJĘ ZADAŃ WŁASNYCH POWIATU</t>
  </si>
  <si>
    <t>Nagrody i wyd.nie zal.do wynagr.</t>
  </si>
  <si>
    <t>Dotacje cel. na zad.zlec.jedn.nie zal. do sektora finansów publicznych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</si>
  <si>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</si>
  <si>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</si>
  <si>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</si>
  <si>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</si>
  <si>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</si>
  <si>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</si>
  <si>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</si>
  <si>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</si>
  <si>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</si>
  <si>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</si>
  <si>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</si>
  <si>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</si>
  <si>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</si>
  <si>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</si>
  <si>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</si>
  <si>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</si>
  <si>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</si>
  <si>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</si>
  <si>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</si>
  <si>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</si>
  <si>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</si>
  <si>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</si>
  <si>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</si>
  <si>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</si>
  <si>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zwalczanie chorób zakaźnych zwierząt</t>
  </si>
  <si>
    <t>01022</t>
  </si>
  <si>
    <t>Zwalczanie chorób zakaźnych zwierząt</t>
  </si>
  <si>
    <t>3250</t>
  </si>
  <si>
    <t>stypendia różne</t>
  </si>
  <si>
    <t>4610</t>
  </si>
  <si>
    <t>Urzędy naczelnych organów władzy państwowej, kontroli i ochrony prawa oraz sądownictwa</t>
  </si>
  <si>
    <t>Wybory do rad gmin,rad powiatów i sejmików województw oraz referenda gminne, powiatowe i wojewódzkie</t>
  </si>
  <si>
    <t>Gospodarka leśna</t>
  </si>
  <si>
    <t>02001</t>
  </si>
  <si>
    <t>751</t>
  </si>
  <si>
    <t>75109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</si>
  <si>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</si>
  <si>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</si>
  <si>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</si>
  <si>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</si>
  <si>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</si>
  <si>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</si>
  <si>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</si>
  <si>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</si>
  <si>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</si>
  <si>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Licea ogólnokształcące</t>
  </si>
  <si>
    <t>szkoły pomaturalne i policealne</t>
  </si>
  <si>
    <t>SUMA</t>
  </si>
  <si>
    <t xml:space="preserve">                                                                          </t>
  </si>
  <si>
    <t>4530</t>
  </si>
  <si>
    <t>Wybory do rad gmin, rad powiatów i sejmików województw oraz referenda gminne, powiatowe i wojew.</t>
  </si>
  <si>
    <t>Plan  2003</t>
  </si>
  <si>
    <t xml:space="preserve"> K.P.P -    33700zł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</si>
  <si>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</si>
  <si>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</si>
  <si>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</si>
  <si>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</si>
  <si>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</si>
  <si>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</si>
  <si>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</si>
  <si>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</si>
  <si>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</si>
  <si>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2130</t>
  </si>
  <si>
    <t>2920</t>
  </si>
  <si>
    <t>- na zadania własne (§ 2130 i § 6430)</t>
  </si>
  <si>
    <t>K.P.P.S.P - 38700zł.</t>
  </si>
  <si>
    <t>Przewidywane wykonanie 2002</t>
  </si>
  <si>
    <t>Nagr.i wyd.nie zal.do wynagr</t>
  </si>
  <si>
    <t>wypłaty z tyt.poręczeń kredyt.krajow.</t>
  </si>
  <si>
    <t>wypł.z tyt.pozost.poręcz.i gwar.</t>
  </si>
  <si>
    <t>Podatek od towarów i usług (VAT)</t>
  </si>
  <si>
    <t>Nazwa jednostki</t>
  </si>
  <si>
    <t>rozdział</t>
  </si>
  <si>
    <t>kwota dotacji</t>
  </si>
  <si>
    <t>Centrum "Omega"</t>
  </si>
  <si>
    <t>Studium Policealne Hotelarstwa (zaoczne dla dorosłych)</t>
  </si>
  <si>
    <t>RAZEM</t>
  </si>
  <si>
    <t>Wyrównanie  z tyt.rozliczenia dotacji za 2002rok</t>
  </si>
  <si>
    <t xml:space="preserve"> </t>
  </si>
  <si>
    <t>świad.rodzinne oraz zasiłki</t>
  </si>
  <si>
    <t>pozostała działalność</t>
  </si>
  <si>
    <t>Dotacja na zadania bieżące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</si>
  <si>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</si>
  <si>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</si>
  <si>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</si>
  <si>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</si>
  <si>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</si>
  <si>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</si>
  <si>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III</t>
  </si>
  <si>
    <t>dotacje celowe  z powiatu na zadania bieżące realiz.na podst.zawartych porozumień</t>
  </si>
  <si>
    <t xml:space="preserve">                                                 Przewodniczący Rady Powiatu: Wacław Sapieha</t>
  </si>
  <si>
    <t>DOTACJE CELOWE OD J.S.T.</t>
  </si>
  <si>
    <t>DOTACJE Z FUNDUSZY CELOWYCH</t>
  </si>
  <si>
    <t>Dochody i wydatki związane z realizacją zadań z zakresu administracji rządowej zleconych powiatowi i innych zadań zleconych ustawami</t>
  </si>
  <si>
    <t>Wydatki osob.nie zal. do wynagrodzeń</t>
  </si>
  <si>
    <t>Równiważniki i ekwiwalenty</t>
  </si>
  <si>
    <t>Zakupy inwest.jedn.budżetowych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</si>
  <si>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</si>
  <si>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</si>
  <si>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</si>
  <si>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</si>
  <si>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</si>
  <si>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</si>
  <si>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</si>
  <si>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</si>
  <si>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</si>
  <si>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</si>
  <si>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Dotacja przekazana powiatom</t>
  </si>
  <si>
    <t>Dotacja otrzymana od powiatów</t>
  </si>
  <si>
    <t>Miasto Suwałki</t>
  </si>
  <si>
    <t>Powiat suwalski</t>
  </si>
  <si>
    <t>Powiat gołdapski</t>
  </si>
  <si>
    <t xml:space="preserve">Gmina Olecko          </t>
  </si>
  <si>
    <t>Schroniska  młodzieżowe</t>
  </si>
  <si>
    <t>§ 4300-zakup usług pozostałych</t>
  </si>
  <si>
    <t>Wydatki majątkowe</t>
  </si>
  <si>
    <t>(w zł)</t>
  </si>
  <si>
    <t>Kwota dotacji</t>
  </si>
  <si>
    <t>x</t>
  </si>
  <si>
    <t>VIII.</t>
  </si>
  <si>
    <t>Udzielone przez powiat poręczenia i gwarancje (niewymagalne)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</si>
  <si>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</si>
  <si>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</si>
  <si>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</si>
  <si>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</si>
  <si>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</si>
  <si>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</si>
  <si>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</si>
  <si>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</si>
  <si>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>DOM POMOCY SPOŁECZNEJ W KOWALACH OLECKICH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</si>
  <si>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</si>
  <si>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</si>
  <si>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</si>
  <si>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</si>
  <si>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</si>
  <si>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</si>
  <si>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odszk.na rzecz os.fiz.</t>
  </si>
  <si>
    <t>kary i odszkod.na rzecz os.fiz.</t>
  </si>
  <si>
    <t>wpływy z różnych doch.</t>
  </si>
  <si>
    <t xml:space="preserve">dochody z najmu i dzierżawy składników majątkowych </t>
  </si>
  <si>
    <t xml:space="preserve">Środki otrzym.od pozost j.sekt.f.p. na real.zad.bieżących </t>
  </si>
  <si>
    <t xml:space="preserve">środki na finan. własnych inwest. pozysk.z innych źródeł </t>
  </si>
  <si>
    <t>środki na finansowanie własnych inwest.pozysk. z innych źródeł</t>
  </si>
  <si>
    <t>6299</t>
  </si>
  <si>
    <t>Środki na dofin.zadań bieżących pozyskane z innych źródeł</t>
  </si>
  <si>
    <t>2707</t>
  </si>
  <si>
    <t>środki na dofin.własnych inwestycji pozyskane z innych źródeł</t>
  </si>
  <si>
    <t>- na zadania zlecone (§ 2110 i § 2120)</t>
  </si>
  <si>
    <t xml:space="preserve">środki na dofinansowanie własnych inwestycji pozyskane z innych źródeł </t>
  </si>
  <si>
    <t>DOTACJE CELOWE OTRZYMANE OD SAMORZĄDU WOJEWÓDZTWA</t>
  </si>
  <si>
    <t>dotacje cel.otrzymane od samorządu województwa w ramach zawartych porozumień</t>
  </si>
  <si>
    <t>dotacje celowe trzymane z gminy na zad.bieżące realiz. na podstawie zawartych porozumień</t>
  </si>
  <si>
    <t>dotacje cel.otrzymane z gminy na inwestycje wspólne realizowane na podstawie zawartych porozumień</t>
  </si>
  <si>
    <t>dotacje celowe otrzymane z gminy na inwestycje wspólne realizowane na podst.zawartych porozumień</t>
  </si>
  <si>
    <t>dotacje celowe otrzymane z gminy na zadania bieżące realizowane na podst.zawartych porozumień</t>
  </si>
  <si>
    <t>dotacja celowe otrzymane z gminy na zadania bieżące realizowane na podst.zawartych porozumień</t>
  </si>
  <si>
    <t>rodziny zastępcze</t>
  </si>
  <si>
    <t>dotacje celowe otrzymane z gminy na inwestycje wspólne real.na podstawie zawartych porozumień</t>
  </si>
  <si>
    <t>Powiat. Inspektorat Wet. w  Olecku</t>
  </si>
  <si>
    <t>6630</t>
  </si>
  <si>
    <t>Dotacja przekaz.sam.woj.na inwest.</t>
  </si>
  <si>
    <t>453</t>
  </si>
  <si>
    <t>Podatek VAT</t>
  </si>
  <si>
    <t>Dotacja przekaz.gminie</t>
  </si>
  <si>
    <t>Wydatki inwest.jedn.budżetowych</t>
  </si>
  <si>
    <t>Kredyty zaciągane w bankach krajowych</t>
  </si>
  <si>
    <t>Komendy Powiatowe  PSP</t>
  </si>
  <si>
    <t xml:space="preserve">a) </t>
  </si>
  <si>
    <t>szkoły zawodowe</t>
  </si>
  <si>
    <t xml:space="preserve">Fundusz Ochrony Gr.Rolnych </t>
  </si>
  <si>
    <t>Dot. otrzym.z f. cel.na finans.lub dofin.kosztów real.inwest i zak.inwest.jsfp</t>
  </si>
  <si>
    <t>Turystyka</t>
  </si>
  <si>
    <t>Ośrodki informacji turystycznej</t>
  </si>
  <si>
    <t>630</t>
  </si>
  <si>
    <t>TURYSTYKA</t>
  </si>
  <si>
    <t>63001</t>
  </si>
  <si>
    <t>dotacje celowe przekaz.gminie na inwestycje</t>
  </si>
  <si>
    <t>Przewodniczący Rady Powiatu: Wacław Sapieha</t>
  </si>
  <si>
    <t xml:space="preserve"> - dotacja z samorządu wojewódzkiego</t>
  </si>
  <si>
    <t>11.</t>
  </si>
  <si>
    <t>Rozl. z tyt. poręcz. i gwar. udziel. przez  j.s.t.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</si>
  <si>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</si>
  <si>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</si>
  <si>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</si>
  <si>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</si>
  <si>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</si>
  <si>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</si>
  <si>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</si>
  <si>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</si>
  <si>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</si>
  <si>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</si>
  <si>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</si>
  <si>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Środki specjalne ogółem,                            w tym:</t>
  </si>
  <si>
    <t>Opracowania geodez. i kartogr.</t>
  </si>
  <si>
    <t>PLAN DOCHODÓW BUDŻETU POWIATU NA ROK 2005</t>
  </si>
  <si>
    <t>Plan 2005</t>
  </si>
  <si>
    <t>PLAN DOCHODÓW BUDŻETU POWIATU NA 2005 ROK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</si>
  <si>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</si>
  <si>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</si>
  <si>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</si>
  <si>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</si>
  <si>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</si>
  <si>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</si>
  <si>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</si>
  <si>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Przedszkole Specjalne</t>
  </si>
  <si>
    <t xml:space="preserve">Szkoła Podstawowa Specjalna </t>
  </si>
  <si>
    <t>Gimnazjum Specjalne</t>
  </si>
  <si>
    <t>Zasadnicza Szkoła Zawodowa, Szkoła przysposabiająca do pracy</t>
  </si>
  <si>
    <t>Przewodniczący Rady Powiatu</t>
  </si>
  <si>
    <t xml:space="preserve">   Wacław Sapieha</t>
  </si>
  <si>
    <t>PLAN WYDATKÓW BUDŻETU POWIATU NA ROK 2005</t>
  </si>
  <si>
    <t>WYDATKI INWESTYCYJNE JEDNOSTEK BUDŻETOWYCH W ROKU 2005</t>
  </si>
  <si>
    <t>rok budżetowy 2005 (7+8+9+10+11)</t>
  </si>
  <si>
    <t>2007r.</t>
  </si>
  <si>
    <t xml:space="preserve">*  uwaga! </t>
  </si>
  <si>
    <t>Plany przychodów i wydatków  środków  specjalnych na rok 2005</t>
  </si>
  <si>
    <t>Dotacje dla niepublicznych przedszkoli, szkół i placówek oświatowo - wychowawczych w roku 2005</t>
  </si>
  <si>
    <t>Wykaz zadań własnych powiatu zlecanych do realizacji podmiotom nie zaliczanym do sektora finansó publicznych i nie działających w celu osiągnięcia zysku w roku 2005</t>
  </si>
  <si>
    <t>Plan na 2005 r</t>
  </si>
  <si>
    <t>P.W.2004</t>
  </si>
  <si>
    <t>zwiększenia /+/</t>
  </si>
  <si>
    <t>zmniejszenia /-/</t>
  </si>
  <si>
    <t>dotacje cel. przekaz. z budż. pań. na inwest.własne</t>
  </si>
  <si>
    <t xml:space="preserve">Stypendia oraz inne formy pomocy </t>
  </si>
  <si>
    <t>3240</t>
  </si>
  <si>
    <t>Przewodniczący Rady: Wacław Sapieha</t>
  </si>
  <si>
    <t xml:space="preserve">    dotacje (§ § 2310, 2320,2330, 2540,  2560, 2610,2820,2830, 2950)</t>
  </si>
  <si>
    <t>dot.cel.otrzym.z budż.państwa na inwest.realiz.przez powiat na podst.poroz.z org. adm. rząd. (Kontrakt Wojewódzki)</t>
  </si>
  <si>
    <t>Dotacje cel.otrzym.z sam.woj..na inwest.real.na podst.umów między j.s.t.</t>
  </si>
  <si>
    <t>Samorząd województwa</t>
  </si>
  <si>
    <t>plan 2003</t>
  </si>
  <si>
    <t>DOT.CEL.OTRZYM. Z BUDŻ.PAŃSTWA NA  INWEST.REALIZ.NA PODST.POROZ.Z ORG.ADM.RZĄDOWEJ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</si>
  <si>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</si>
  <si>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</si>
  <si>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</si>
  <si>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</si>
  <si>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</si>
  <si>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</si>
  <si>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</si>
  <si>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</si>
  <si>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</si>
  <si>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</si>
  <si>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</si>
  <si>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zadania własne</t>
  </si>
  <si>
    <t>porozum.i umowy</t>
  </si>
  <si>
    <t>010</t>
  </si>
  <si>
    <t>2760</t>
  </si>
  <si>
    <t>część drogowa subwencji ogólnej dla powiatów i województw</t>
  </si>
  <si>
    <t>część równoważąca subwencji ogólnej dla powiatów</t>
  </si>
  <si>
    <t>uzupełnienie subwencj ogólnej dla j.s.t. (kwota uzupełniająca części wyrónawczej)</t>
  </si>
  <si>
    <t>ROLNICTWO I ŁOWIECTWO</t>
  </si>
  <si>
    <t>01021</t>
  </si>
  <si>
    <t>Inspekcja Weterynaryjna</t>
  </si>
  <si>
    <t>3020</t>
  </si>
  <si>
    <t>VI.</t>
  </si>
  <si>
    <t>Dochody przeznaczone na pokrycie wydatków (I-V)</t>
  </si>
  <si>
    <t>VII.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</si>
  <si>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</si>
  <si>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</si>
  <si>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</si>
  <si>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</si>
  <si>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</si>
  <si>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</si>
  <si>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</si>
  <si>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</si>
  <si>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</si>
  <si>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</si>
  <si>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</si>
  <si>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</si>
  <si>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</si>
  <si>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</si>
  <si>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</si>
  <si>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</si>
  <si>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</si>
  <si>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</si>
  <si>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</si>
  <si>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</si>
  <si>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</si>
  <si>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</si>
  <si>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</si>
  <si>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</si>
  <si>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</si>
  <si>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</si>
  <si>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</si>
  <si>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</si>
  <si>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</si>
  <si>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</si>
  <si>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</si>
  <si>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</si>
  <si>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</si>
  <si>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</si>
  <si>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</si>
  <si>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</si>
  <si>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</si>
  <si>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</si>
  <si>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</si>
  <si>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</si>
  <si>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</si>
  <si>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</si>
  <si>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</si>
  <si>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</si>
  <si>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</si>
  <si>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</si>
  <si>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</si>
  <si>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</si>
  <si>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6610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</si>
  <si>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</si>
  <si>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</si>
  <si>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</si>
  <si>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</si>
  <si>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</si>
  <si>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</si>
  <si>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</si>
  <si>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</si>
  <si>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</si>
  <si>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</si>
  <si>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</si>
  <si>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</si>
  <si>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</si>
  <si>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</si>
  <si>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</si>
  <si>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</si>
  <si>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</si>
  <si>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</si>
  <si>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</si>
  <si>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</si>
  <si>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</si>
  <si>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</si>
  <si>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</si>
  <si>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</si>
  <si>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Przewodniczący Rady Powiatu:Wacław Sapieha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</si>
  <si>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</si>
  <si>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</si>
  <si>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</si>
  <si>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</si>
  <si>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</si>
  <si>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</si>
  <si>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</si>
  <si>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</si>
  <si>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</si>
  <si>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</si>
  <si>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</si>
  <si>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</si>
  <si>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</si>
  <si>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</si>
  <si>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"Przebudowa drogi powiatowej nr 40457 Kukowo-Zajdy-Dudki w km 4+580 do km 7+780, dług. 3,2km"        w ramach ZPORR                          (lata 2005-2006)</t>
  </si>
  <si>
    <t>Zespół Szkół Licealnych i Zawod. w Olecku</t>
  </si>
  <si>
    <t>Ośrodek Szkolno-Wychowawczy  w Olecku</t>
  </si>
  <si>
    <t>Pozostałe podatki na rzecz j.s.t.</t>
  </si>
  <si>
    <t>80197</t>
  </si>
  <si>
    <t>Gospodarstwa pomocnicze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</si>
  <si>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</si>
  <si>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</si>
  <si>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</si>
  <si>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</si>
  <si>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</si>
  <si>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</si>
  <si>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</si>
  <si>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</si>
  <si>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</si>
  <si>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</si>
  <si>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 xml:space="preserve">Uposaż.żołnierzy zawodowych   i nadterminow. oraz funkcjonar. zwolnion. ze służby 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</si>
  <si>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</si>
  <si>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</si>
  <si>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</si>
  <si>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</si>
  <si>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</si>
  <si>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</si>
  <si>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</si>
  <si>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</si>
  <si>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</si>
  <si>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Rózne opłaty i składki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</si>
  <si>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</si>
  <si>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</si>
  <si>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</si>
  <si>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</si>
  <si>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</si>
  <si>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</si>
  <si>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</si>
  <si>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</si>
  <si>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</si>
  <si>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dotacje celowe przekazane z budżetu państwa  na inwestycje z zakresu adm.rząd.</t>
  </si>
  <si>
    <t>POMOC SPOŁECZNA</t>
  </si>
  <si>
    <t>85204</t>
  </si>
  <si>
    <t>85226</t>
  </si>
  <si>
    <t>Zakupy inwestycyjne</t>
  </si>
  <si>
    <t>757</t>
  </si>
  <si>
    <t>75702</t>
  </si>
  <si>
    <t>Obsługa papierów wart., kredytów i pożyczek j.s.t.</t>
  </si>
  <si>
    <t>8070</t>
  </si>
  <si>
    <t>75704</t>
  </si>
  <si>
    <t>8020</t>
  </si>
  <si>
    <t>8040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</si>
  <si>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</si>
  <si>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</si>
  <si>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</si>
  <si>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</si>
  <si>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</si>
  <si>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</si>
  <si>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</si>
  <si>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</si>
  <si>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</si>
  <si>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</si>
  <si>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</si>
  <si>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</si>
  <si>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</si>
  <si>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</si>
  <si>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</si>
  <si>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</si>
  <si>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</si>
  <si>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</si>
  <si>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</si>
  <si>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</si>
  <si>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</si>
  <si>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</si>
  <si>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</si>
  <si>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</si>
  <si>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</si>
  <si>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</si>
  <si>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</si>
  <si>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</si>
  <si>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</si>
  <si>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L.Olszewski Olecko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</si>
  <si>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</si>
  <si>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</si>
  <si>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</si>
  <si>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</si>
  <si>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</si>
  <si>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</si>
  <si>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</si>
  <si>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</si>
  <si>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</si>
  <si>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</si>
  <si>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</si>
  <si>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Jedn.organiz.realiz.zadanie lub koordyn.program</t>
  </si>
  <si>
    <t>2110</t>
  </si>
  <si>
    <t>6410</t>
  </si>
  <si>
    <t>2006r.</t>
  </si>
  <si>
    <t>Pożyczki z WFOŚiGW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</si>
  <si>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</si>
  <si>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</si>
  <si>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</si>
  <si>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</si>
  <si>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</si>
  <si>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</si>
  <si>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</si>
  <si>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</si>
  <si>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</si>
  <si>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</si>
  <si>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</si>
  <si>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80142</t>
  </si>
  <si>
    <t>Ośrodki szkolenia, dokształcania i doskonalenia kadr</t>
  </si>
  <si>
    <t>2320</t>
  </si>
  <si>
    <t>środki z Funduszu Ochrony  Gruntów Rolnych</t>
  </si>
  <si>
    <t>POWIATOWY INSPEKTORAT NADZORU BUDOWLANEGO W OLECKU</t>
  </si>
  <si>
    <t>Wykonanie dokumentacji rozbudowy DPS w Kowalach Oleckich</t>
  </si>
  <si>
    <t>Spłaty pożyczek (WFOŚiGW)</t>
  </si>
  <si>
    <t>80145</t>
  </si>
  <si>
    <t>Placówki opiek-wychowawcze</t>
  </si>
  <si>
    <t>dotacje celowe z powiatu na zadania bieżące realiz. na podst.porozumień</t>
  </si>
  <si>
    <t>Obrona cywilna</t>
  </si>
  <si>
    <t>Środki poch. z progr.UE (ZPORR)</t>
  </si>
  <si>
    <t>"Budowa drogi powiatowej nr 40491 Krupin-Wojnasy, etap I przez wieś Markowskie długości 951 m" w ramach ZPORR                     (lata: 2005-2006) *</t>
  </si>
  <si>
    <t xml:space="preserve">kredyty bankowe i pożyczki </t>
  </si>
  <si>
    <t xml:space="preserve">dotacje  od j.s.t w ramach zawartych porozumień </t>
  </si>
  <si>
    <t>"Przebudowa drogi powiatowej nr 40454Olecko-Świętajno-Dunajek km 7+350 do km 13+000 dł. 5,65 km" w ramach ZPORR           (lata 2005-2007)**</t>
  </si>
  <si>
    <t>Budowa Szpitala Rejonowego w Olecku                                 (lata: 1986 - 2007)</t>
  </si>
  <si>
    <t>"Regionalna Platforma Cyfrowa"               (lata: 2004-2005)</t>
  </si>
  <si>
    <t>koszty "studium wykonalnośi" inwestycji (poz. 1 i 2) sfinansowano w roku 2004</t>
  </si>
  <si>
    <t>"Przebudowa chodnika przy ul. Armii Krajowej (od ul.Sokolej do ul Słowiańskiej) w Olecku</t>
  </si>
  <si>
    <t>dotacje z gmin w ramach zawartych porozumień</t>
  </si>
  <si>
    <t>"Przebudowa drogi powiatowej nr 40508 Kleszczewo-Puchówka w km 0+000 do km 0+525, długości 525m"</t>
  </si>
  <si>
    <t>ZESPÓŁ SZKÓŁ LICEALNYCH I ZAWODOWYCH W OLECKU</t>
  </si>
  <si>
    <t>Zakup wyposażenia</t>
  </si>
  <si>
    <t>dotacje z budżetu państwa</t>
  </si>
  <si>
    <t>Zakup urządzeń systemu łączności (Powiatowy Zespół Reagowania Kryzysowego)</t>
  </si>
  <si>
    <t>Komisje egzaminacyjne</t>
  </si>
  <si>
    <t>Różne wyd. na rzecz osób fiz.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</si>
  <si>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</si>
  <si>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</si>
  <si>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</si>
  <si>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</si>
  <si>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</si>
  <si>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</si>
  <si>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</si>
  <si>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</si>
  <si>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dotacja podmiot. z budż. dla         SP ZOZ</t>
  </si>
  <si>
    <t>6220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</si>
</sst>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u val="single"/>
      <sz val="14"/>
      <name val="Arial CE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righ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wrapText="1"/>
    </xf>
    <xf numFmtId="49" fontId="0" fillId="0" borderId="2" xfId="0" applyNumberFormat="1" applyBorder="1" applyAlignment="1">
      <alignment/>
    </xf>
    <xf numFmtId="49" fontId="0" fillId="0" borderId="7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23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41" fontId="9" fillId="0" borderId="14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8" xfId="0" applyNumberFormat="1" applyBorder="1" applyAlignment="1">
      <alignment horizontal="left"/>
    </xf>
    <xf numFmtId="2" fontId="4" fillId="0" borderId="1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38" xfId="0" applyFont="1" applyBorder="1" applyAlignment="1">
      <alignment/>
    </xf>
    <xf numFmtId="0" fontId="0" fillId="0" borderId="3" xfId="0" applyBorder="1" applyAlignment="1">
      <alignment horizontal="left"/>
    </xf>
    <xf numFmtId="0" fontId="4" fillId="0" borderId="8" xfId="0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165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4" fillId="0" borderId="14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41" fontId="9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4" fillId="0" borderId="3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43" xfId="0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8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4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49" fontId="0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5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41" fontId="9" fillId="0" borderId="1" xfId="0" applyNumberFormat="1" applyFont="1" applyBorder="1" applyAlignment="1">
      <alignment horizontal="center" wrapText="1"/>
    </xf>
    <xf numFmtId="0" fontId="10" fillId="0" borderId="2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9" xfId="0" applyFont="1" applyBorder="1" applyAlignment="1">
      <alignment/>
    </xf>
    <xf numFmtId="0" fontId="10" fillId="0" borderId="31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52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1" xfId="0" applyFont="1" applyBorder="1" applyAlignment="1">
      <alignment/>
    </xf>
    <xf numFmtId="10" fontId="12" fillId="0" borderId="8" xfId="0" applyNumberFormat="1" applyFont="1" applyBorder="1" applyAlignment="1">
      <alignment/>
    </xf>
    <xf numFmtId="10" fontId="12" fillId="0" borderId="2" xfId="0" applyNumberFormat="1" applyFont="1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/>
    </xf>
    <xf numFmtId="0" fontId="12" fillId="0" borderId="53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4" fillId="0" borderId="5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4" fillId="0" borderId="17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0" fontId="0" fillId="0" borderId="8" xfId="0" applyNumberFormat="1" applyBorder="1" applyAlignment="1">
      <alignment/>
    </xf>
    <xf numFmtId="10" fontId="0" fillId="0" borderId="8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4" xfId="0" applyNumberFormat="1" applyBorder="1" applyAlignment="1">
      <alignment/>
    </xf>
    <xf numFmtId="49" fontId="4" fillId="0" borderId="8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0" fontId="4" fillId="0" borderId="48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165" fontId="0" fillId="0" borderId="14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2" fontId="0" fillId="0" borderId="8" xfId="0" applyNumberFormat="1" applyBorder="1" applyAlignment="1">
      <alignment/>
    </xf>
    <xf numFmtId="0" fontId="10" fillId="2" borderId="20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/>
    </xf>
    <xf numFmtId="10" fontId="4" fillId="0" borderId="59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5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5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164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4" xfId="0" applyNumberFormat="1" applyBorder="1" applyAlignment="1">
      <alignment/>
    </xf>
    <xf numFmtId="10" fontId="0" fillId="0" borderId="58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47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0" fillId="0" borderId="22" xfId="0" applyFont="1" applyBorder="1" applyAlignment="1">
      <alignment wrapText="1"/>
    </xf>
    <xf numFmtId="0" fontId="8" fillId="0" borderId="8" xfId="0" applyFont="1" applyBorder="1" applyAlignment="1">
      <alignment wrapText="1"/>
    </xf>
    <xf numFmtId="2" fontId="0" fillId="0" borderId="8" xfId="0" applyNumberFormat="1" applyFont="1" applyBorder="1" applyAlignment="1">
      <alignment/>
    </xf>
    <xf numFmtId="0" fontId="0" fillId="0" borderId="7" xfId="0" applyBorder="1" applyAlignment="1">
      <alignment horizontal="center" wrapText="1"/>
    </xf>
    <xf numFmtId="165" fontId="10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0" fontId="10" fillId="0" borderId="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9" fillId="0" borderId="14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5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6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/>
    </xf>
    <xf numFmtId="165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165" fontId="4" fillId="3" borderId="8" xfId="0" applyNumberFormat="1" applyFont="1" applyFill="1" applyBorder="1" applyAlignment="1">
      <alignment horizontal="right"/>
    </xf>
    <xf numFmtId="164" fontId="4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/>
    </xf>
    <xf numFmtId="10" fontId="4" fillId="3" borderId="8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4" fillId="3" borderId="8" xfId="0" applyNumberFormat="1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 wrapText="1"/>
    </xf>
    <xf numFmtId="49" fontId="4" fillId="3" borderId="22" xfId="0" applyNumberFormat="1" applyFont="1" applyFill="1" applyBorder="1" applyAlignment="1">
      <alignment horizontal="left"/>
    </xf>
    <xf numFmtId="0" fontId="4" fillId="3" borderId="22" xfId="0" applyFont="1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4" fillId="3" borderId="23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/>
    </xf>
    <xf numFmtId="10" fontId="4" fillId="3" borderId="48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3" borderId="2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/>
    </xf>
    <xf numFmtId="164" fontId="4" fillId="3" borderId="22" xfId="0" applyNumberFormat="1" applyFont="1" applyFill="1" applyBorder="1" applyAlignment="1">
      <alignment/>
    </xf>
    <xf numFmtId="10" fontId="4" fillId="3" borderId="59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60" xfId="0" applyFont="1" applyFill="1" applyBorder="1" applyAlignment="1">
      <alignment wrapText="1"/>
    </xf>
    <xf numFmtId="0" fontId="0" fillId="3" borderId="60" xfId="0" applyFill="1" applyBorder="1" applyAlignment="1">
      <alignment horizontal="left"/>
    </xf>
    <xf numFmtId="165" fontId="4" fillId="3" borderId="60" xfId="0" applyNumberFormat="1" applyFont="1" applyFill="1" applyBorder="1" applyAlignment="1">
      <alignment/>
    </xf>
    <xf numFmtId="164" fontId="4" fillId="3" borderId="60" xfId="0" applyNumberFormat="1" applyFont="1" applyFill="1" applyBorder="1" applyAlignment="1">
      <alignment/>
    </xf>
    <xf numFmtId="2" fontId="0" fillId="3" borderId="60" xfId="0" applyNumberFormat="1" applyFill="1" applyBorder="1" applyAlignment="1">
      <alignment/>
    </xf>
    <xf numFmtId="10" fontId="0" fillId="3" borderId="60" xfId="0" applyNumberFormat="1" applyFont="1" applyFill="1" applyBorder="1" applyAlignment="1">
      <alignment/>
    </xf>
    <xf numFmtId="0" fontId="0" fillId="3" borderId="60" xfId="0" applyFill="1" applyBorder="1" applyAlignment="1">
      <alignment/>
    </xf>
    <xf numFmtId="0" fontId="4" fillId="3" borderId="6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10" fontId="4" fillId="3" borderId="60" xfId="0" applyNumberFormat="1" applyFont="1" applyFill="1" applyBorder="1" applyAlignment="1">
      <alignment/>
    </xf>
    <xf numFmtId="10" fontId="4" fillId="3" borderId="61" xfId="0" applyNumberFormat="1" applyFont="1" applyFill="1" applyBorder="1" applyAlignment="1">
      <alignment/>
    </xf>
    <xf numFmtId="0" fontId="4" fillId="3" borderId="51" xfId="0" applyFont="1" applyFill="1" applyBorder="1" applyAlignment="1">
      <alignment horizontal="right"/>
    </xf>
    <xf numFmtId="0" fontId="10" fillId="3" borderId="22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/>
    </xf>
    <xf numFmtId="165" fontId="4" fillId="3" borderId="22" xfId="0" applyNumberFormat="1" applyFont="1" applyFill="1" applyBorder="1" applyAlignment="1">
      <alignment/>
    </xf>
    <xf numFmtId="2" fontId="0" fillId="3" borderId="22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10" fillId="3" borderId="22" xfId="0" applyFont="1" applyFill="1" applyBorder="1" applyAlignment="1">
      <alignment wrapText="1"/>
    </xf>
    <xf numFmtId="0" fontId="8" fillId="3" borderId="6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left"/>
    </xf>
    <xf numFmtId="0" fontId="4" fillId="3" borderId="60" xfId="0" applyNumberFormat="1" applyFont="1" applyFill="1" applyBorder="1" applyAlignment="1">
      <alignment/>
    </xf>
    <xf numFmtId="0" fontId="4" fillId="3" borderId="50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0" fontId="11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165" fontId="8" fillId="4" borderId="29" xfId="0" applyNumberFormat="1" applyFont="1" applyFill="1" applyBorder="1" applyAlignment="1">
      <alignment/>
    </xf>
    <xf numFmtId="164" fontId="8" fillId="4" borderId="29" xfId="0" applyNumberFormat="1" applyFont="1" applyFill="1" applyBorder="1" applyAlignment="1">
      <alignment/>
    </xf>
    <xf numFmtId="2" fontId="4" fillId="4" borderId="29" xfId="0" applyNumberFormat="1" applyFont="1" applyFill="1" applyBorder="1" applyAlignment="1">
      <alignment/>
    </xf>
    <xf numFmtId="10" fontId="4" fillId="4" borderId="29" xfId="0" applyNumberFormat="1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29" xfId="0" applyNumberFormat="1" applyFont="1" applyFill="1" applyBorder="1" applyAlignment="1">
      <alignment/>
    </xf>
    <xf numFmtId="0" fontId="4" fillId="4" borderId="46" xfId="0" applyNumberFormat="1" applyFont="1" applyFill="1" applyBorder="1" applyAlignment="1">
      <alignment/>
    </xf>
    <xf numFmtId="10" fontId="4" fillId="4" borderId="57" xfId="0" applyNumberFormat="1" applyFont="1" applyFill="1" applyBorder="1" applyAlignment="1">
      <alignment/>
    </xf>
    <xf numFmtId="0" fontId="4" fillId="0" borderId="60" xfId="0" applyFont="1" applyBorder="1" applyAlignment="1">
      <alignment horizontal="center"/>
    </xf>
    <xf numFmtId="0" fontId="0" fillId="0" borderId="62" xfId="0" applyBorder="1" applyAlignment="1">
      <alignment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49" fontId="0" fillId="0" borderId="8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0" fillId="0" borderId="30" xfId="0" applyBorder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165" fontId="4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0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26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7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1"/>
  <sheetViews>
    <sheetView view="pageBreakPreview" zoomScaleSheetLayoutView="100" workbookViewId="0" topLeftCell="A2">
      <selection activeCell="A6" sqref="A6:T11"/>
    </sheetView>
  </sheetViews>
  <sheetFormatPr defaultColWidth="9.00390625" defaultRowHeight="12.75"/>
  <cols>
    <col min="1" max="1" width="5.375" style="0" customWidth="1"/>
    <col min="2" max="2" width="40.00390625" style="0" customWidth="1"/>
    <col min="3" max="3" width="6.875" style="0" customWidth="1"/>
    <col min="4" max="5" width="7.7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6.375" style="0" customWidth="1"/>
    <col min="20" max="20" width="12.25390625" style="0" customWidth="1"/>
  </cols>
  <sheetData>
    <row r="1" ht="12.75" hidden="1"/>
    <row r="2" spans="5:20" ht="12.75" customHeight="1">
      <c r="E2" s="549" t="s">
        <v>0</v>
      </c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</row>
    <row r="3" spans="5:20" ht="12.75" customHeight="1"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</row>
    <row r="4" spans="5:20" ht="6.75" customHeight="1"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</row>
    <row r="5" ht="21.75" customHeight="1" hidden="1"/>
    <row r="6" spans="1:20" ht="1.5" customHeight="1" hidden="1">
      <c r="A6" s="553" t="s">
        <v>652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</row>
    <row r="7" spans="1:20" ht="9.75" customHeight="1" hidden="1">
      <c r="A7" s="553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</row>
    <row r="8" spans="1:20" ht="0.75" customHeight="1" hidden="1">
      <c r="A8" s="553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</row>
    <row r="9" spans="1:20" ht="9.75" customHeight="1" hidden="1">
      <c r="A9" s="553"/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</row>
    <row r="10" spans="1:20" ht="24" customHeight="1">
      <c r="A10" s="553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</row>
    <row r="11" spans="1:20" ht="8.2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</row>
    <row r="12" spans="1:20" ht="18" customHeight="1">
      <c r="A12" s="543" t="s">
        <v>205</v>
      </c>
      <c r="B12" s="543" t="s">
        <v>691</v>
      </c>
      <c r="C12" s="543" t="s">
        <v>100</v>
      </c>
      <c r="D12" s="543"/>
      <c r="E12" s="543"/>
      <c r="F12" s="493"/>
      <c r="G12" s="493"/>
      <c r="H12" s="493"/>
      <c r="I12" s="493"/>
      <c r="J12" s="2"/>
      <c r="K12" s="11"/>
      <c r="L12" s="11"/>
      <c r="M12" s="543" t="s">
        <v>208</v>
      </c>
      <c r="N12" s="555" t="s">
        <v>447</v>
      </c>
      <c r="O12" s="555"/>
      <c r="P12" s="542" t="s">
        <v>509</v>
      </c>
      <c r="Q12" s="554" t="s">
        <v>678</v>
      </c>
      <c r="R12" s="554" t="s">
        <v>679</v>
      </c>
      <c r="S12" s="542" t="s">
        <v>653</v>
      </c>
      <c r="T12" s="550" t="s">
        <v>118</v>
      </c>
    </row>
    <row r="13" spans="1:20" ht="0.75" customHeight="1">
      <c r="A13" s="543"/>
      <c r="B13" s="543"/>
      <c r="C13" s="543"/>
      <c r="D13" s="543"/>
      <c r="E13" s="543"/>
      <c r="F13" s="548" t="s">
        <v>310</v>
      </c>
      <c r="G13" s="542" t="s">
        <v>696</v>
      </c>
      <c r="H13" s="542" t="s">
        <v>311</v>
      </c>
      <c r="I13" s="198" t="s">
        <v>312</v>
      </c>
      <c r="J13" s="2"/>
      <c r="K13" s="542" t="s">
        <v>313</v>
      </c>
      <c r="L13" s="542" t="s">
        <v>314</v>
      </c>
      <c r="M13" s="543"/>
      <c r="N13" s="542" t="s">
        <v>445</v>
      </c>
      <c r="O13" s="542" t="s">
        <v>446</v>
      </c>
      <c r="P13" s="542"/>
      <c r="Q13" s="554"/>
      <c r="R13" s="554"/>
      <c r="S13" s="542"/>
      <c r="T13" s="551"/>
    </row>
    <row r="14" spans="1:20" ht="0.75" customHeight="1" hidden="1">
      <c r="A14" s="543"/>
      <c r="B14" s="543"/>
      <c r="C14" s="543"/>
      <c r="D14" s="543"/>
      <c r="E14" s="543"/>
      <c r="F14" s="548"/>
      <c r="G14" s="542"/>
      <c r="H14" s="542"/>
      <c r="I14" s="542" t="s">
        <v>315</v>
      </c>
      <c r="J14" s="199"/>
      <c r="K14" s="542"/>
      <c r="L14" s="542"/>
      <c r="M14" s="543"/>
      <c r="N14" s="542"/>
      <c r="O14" s="542"/>
      <c r="P14" s="542"/>
      <c r="Q14" s="554"/>
      <c r="R14" s="554"/>
      <c r="S14" s="542"/>
      <c r="T14" s="551"/>
    </row>
    <row r="15" spans="1:20" ht="14.25" customHeight="1" thickBot="1">
      <c r="A15" s="543"/>
      <c r="B15" s="2" t="s">
        <v>316</v>
      </c>
      <c r="C15" s="2" t="s">
        <v>317</v>
      </c>
      <c r="D15" s="507" t="s">
        <v>279</v>
      </c>
      <c r="E15" s="2" t="s">
        <v>693</v>
      </c>
      <c r="F15" s="548"/>
      <c r="G15" s="542"/>
      <c r="H15" s="542"/>
      <c r="I15" s="542"/>
      <c r="J15" s="494"/>
      <c r="K15" s="542"/>
      <c r="L15" s="542"/>
      <c r="M15" s="543"/>
      <c r="N15" s="542"/>
      <c r="O15" s="542"/>
      <c r="P15" s="542"/>
      <c r="Q15" s="554"/>
      <c r="R15" s="554"/>
      <c r="S15" s="542"/>
      <c r="T15" s="552"/>
    </row>
    <row r="16" spans="1:20" s="389" customFormat="1" ht="13.5" thickBot="1">
      <c r="A16" s="282">
        <v>1</v>
      </c>
      <c r="B16" s="491">
        <v>2</v>
      </c>
      <c r="C16" s="491">
        <v>3</v>
      </c>
      <c r="D16" s="491">
        <v>4</v>
      </c>
      <c r="E16" s="491">
        <v>5</v>
      </c>
      <c r="F16" s="491">
        <v>6</v>
      </c>
      <c r="G16" s="491">
        <v>6</v>
      </c>
      <c r="H16" s="491">
        <v>8</v>
      </c>
      <c r="I16" s="491">
        <v>9</v>
      </c>
      <c r="J16" s="492"/>
      <c r="K16" s="491">
        <v>7</v>
      </c>
      <c r="L16" s="491">
        <v>8</v>
      </c>
      <c r="M16" s="491">
        <v>6</v>
      </c>
      <c r="N16" s="491">
        <v>7</v>
      </c>
      <c r="O16" s="491">
        <v>8</v>
      </c>
      <c r="P16" s="491">
        <v>6</v>
      </c>
      <c r="Q16" s="491">
        <v>7</v>
      </c>
      <c r="R16" s="491">
        <v>8</v>
      </c>
      <c r="S16" s="491">
        <v>6</v>
      </c>
      <c r="T16" s="491">
        <v>7</v>
      </c>
    </row>
    <row r="17" spans="1:20" s="44" customFormat="1" ht="19.5" customHeight="1">
      <c r="A17" s="431" t="s">
        <v>209</v>
      </c>
      <c r="B17" s="432" t="s">
        <v>318</v>
      </c>
      <c r="C17" s="433"/>
      <c r="D17" s="433"/>
      <c r="E17" s="433"/>
      <c r="F17" s="434" t="e">
        <f>F18+F23+F30+F38+F48+F53+F57+F63+F85+F93+F134+F147</f>
        <v>#REF!</v>
      </c>
      <c r="G17" s="435" t="e">
        <f>G18+G23+G30+G38+G48+G53+G57+G63+G85+G93+G134+G151</f>
        <v>#REF!</v>
      </c>
      <c r="H17" s="436" t="e">
        <f aca="true" t="shared" si="0" ref="H17:H104">IF(F17&gt;0,G17/F17*100,"")</f>
        <v>#REF!</v>
      </c>
      <c r="I17" s="437" t="e">
        <f>F17/F400</f>
        <v>#REF!</v>
      </c>
      <c r="J17" s="438"/>
      <c r="K17" s="432" t="e">
        <f>K18+K23+K30+K38+K48+K53+K57+K63+K85+K93+K134+K151</f>
        <v>#REF!</v>
      </c>
      <c r="L17" s="432" t="e">
        <f>L18+L23+L30+L38+L48+L53+L57+L63+L85+L93+L134+L151</f>
        <v>#REF!</v>
      </c>
      <c r="M17" s="432" t="e">
        <f>M18+M23+M30+M38+M48+M53+M57+M63+M85+M93+M134+M151</f>
        <v>#REF!</v>
      </c>
      <c r="N17" s="432" t="e">
        <f>N18+N23+N30+N38+N48+N53+N57+N63+N85+N93+N134+N151</f>
        <v>#REF!</v>
      </c>
      <c r="O17" s="432" t="e">
        <f>O18+O23+O30+O38+O48+O53+O57+O63+O85+O93+O134+O151</f>
        <v>#REF!</v>
      </c>
      <c r="P17" s="439">
        <f>P18+P23+P30+P38+P48+P53+P57+P63+P85+P93+P134+P151+P90</f>
        <v>2085705</v>
      </c>
      <c r="Q17" s="439">
        <f>Q18+Q23+Q30+Q38+Q48+Q53+Q57+Q63+Q93+Q134+Q90</f>
        <v>44118</v>
      </c>
      <c r="R17" s="439">
        <f>R18+R23+R30+R38+R48+R53+R57+R63+R85+R93+R134+R151+R90</f>
        <v>5291</v>
      </c>
      <c r="S17" s="439">
        <f>S18+S23+S30+S38+S48+S53+S57+S63+S90+S93+S127+S134</f>
        <v>4379766</v>
      </c>
      <c r="T17" s="437">
        <f aca="true" t="shared" si="1" ref="T17:T48">S17/$S$400</f>
        <v>0.156021634730989</v>
      </c>
    </row>
    <row r="18" spans="1:20" ht="18" customHeight="1">
      <c r="A18" s="60" t="s">
        <v>217</v>
      </c>
      <c r="B18" s="150" t="s">
        <v>319</v>
      </c>
      <c r="C18" s="372" t="s">
        <v>703</v>
      </c>
      <c r="D18" s="147"/>
      <c r="E18" s="147"/>
      <c r="F18" s="96">
        <f>F19+F21</f>
        <v>1390</v>
      </c>
      <c r="G18" s="151">
        <f>G19+G21</f>
        <v>950</v>
      </c>
      <c r="H18" s="204">
        <f t="shared" si="0"/>
        <v>68.34532374100719</v>
      </c>
      <c r="I18" s="374" t="e">
        <f>F18/F400</f>
        <v>#REF!</v>
      </c>
      <c r="J18" s="40"/>
      <c r="K18" s="59">
        <f aca="true" t="shared" si="2" ref="K18:P18">K19+K21</f>
        <v>0</v>
      </c>
      <c r="L18" s="59">
        <f t="shared" si="2"/>
        <v>0</v>
      </c>
      <c r="M18" s="59">
        <f t="shared" si="2"/>
        <v>520</v>
      </c>
      <c r="N18" s="59">
        <f t="shared" si="2"/>
        <v>0</v>
      </c>
      <c r="O18" s="59">
        <f t="shared" si="2"/>
        <v>0</v>
      </c>
      <c r="P18" s="375">
        <f t="shared" si="2"/>
        <v>700</v>
      </c>
      <c r="Q18" s="375">
        <f>Q19+Q21</f>
        <v>0</v>
      </c>
      <c r="R18" s="375">
        <f>R19+R21</f>
        <v>0</v>
      </c>
      <c r="S18" s="375">
        <f>S21</f>
        <v>400</v>
      </c>
      <c r="T18" s="374">
        <f t="shared" si="1"/>
        <v>1.4249312381619385E-05</v>
      </c>
    </row>
    <row r="19" spans="1:20" ht="18" customHeight="1" hidden="1">
      <c r="A19" s="22" t="s">
        <v>320</v>
      </c>
      <c r="B19" s="59" t="s">
        <v>710</v>
      </c>
      <c r="C19" s="30"/>
      <c r="D19" s="30" t="s">
        <v>709</v>
      </c>
      <c r="E19" s="30"/>
      <c r="F19" s="12">
        <f>F20</f>
        <v>990</v>
      </c>
      <c r="G19" s="151">
        <f>G20</f>
        <v>550</v>
      </c>
      <c r="H19" s="148">
        <f t="shared" si="0"/>
        <v>55.55555555555556</v>
      </c>
      <c r="I19" s="13" t="e">
        <f>F19/F400</f>
        <v>#REF!</v>
      </c>
      <c r="J19" s="40"/>
      <c r="K19" s="10">
        <f aca="true" t="shared" si="3" ref="K19:S19">K20</f>
        <v>0</v>
      </c>
      <c r="L19" s="10">
        <f t="shared" si="3"/>
        <v>0</v>
      </c>
      <c r="M19" s="10">
        <f t="shared" si="3"/>
        <v>220</v>
      </c>
      <c r="N19" s="10">
        <f t="shared" si="3"/>
        <v>0</v>
      </c>
      <c r="O19" s="10">
        <f t="shared" si="3"/>
        <v>0</v>
      </c>
      <c r="P19" s="342">
        <f t="shared" si="3"/>
        <v>100</v>
      </c>
      <c r="Q19" s="342">
        <f t="shared" si="3"/>
        <v>0</v>
      </c>
      <c r="R19" s="342">
        <f t="shared" si="3"/>
        <v>0</v>
      </c>
      <c r="S19" s="342">
        <f t="shared" si="3"/>
        <v>0</v>
      </c>
      <c r="T19" s="13">
        <f t="shared" si="1"/>
        <v>0</v>
      </c>
    </row>
    <row r="20" spans="1:20" ht="15" customHeight="1" hidden="1">
      <c r="A20" s="24"/>
      <c r="B20" s="152" t="s">
        <v>328</v>
      </c>
      <c r="C20" s="21"/>
      <c r="D20" s="21"/>
      <c r="E20" s="21" t="s">
        <v>511</v>
      </c>
      <c r="F20" s="8">
        <v>990</v>
      </c>
      <c r="G20" s="153">
        <v>550</v>
      </c>
      <c r="H20" s="154">
        <f t="shared" si="0"/>
        <v>55.55555555555556</v>
      </c>
      <c r="I20" s="9" t="e">
        <f>F20/F400</f>
        <v>#REF!</v>
      </c>
      <c r="K20" s="11">
        <v>0</v>
      </c>
      <c r="L20" s="11">
        <v>0</v>
      </c>
      <c r="M20" s="11">
        <v>220</v>
      </c>
      <c r="N20" s="11">
        <v>0</v>
      </c>
      <c r="O20" s="11">
        <v>0</v>
      </c>
      <c r="P20" s="263">
        <v>100</v>
      </c>
      <c r="Q20" s="263">
        <v>0</v>
      </c>
      <c r="R20" s="263">
        <v>0</v>
      </c>
      <c r="S20" s="11">
        <v>0</v>
      </c>
      <c r="T20" s="9">
        <f t="shared" si="1"/>
        <v>0</v>
      </c>
    </row>
    <row r="21" spans="1:20" ht="15.75" customHeight="1">
      <c r="A21" s="22" t="s">
        <v>320</v>
      </c>
      <c r="B21" s="7" t="s">
        <v>795</v>
      </c>
      <c r="C21" s="30"/>
      <c r="D21" s="30" t="s">
        <v>331</v>
      </c>
      <c r="E21" s="30"/>
      <c r="F21" s="12">
        <f>F22</f>
        <v>400</v>
      </c>
      <c r="G21" s="155">
        <f>G22</f>
        <v>400</v>
      </c>
      <c r="H21" s="148">
        <f t="shared" si="0"/>
        <v>100</v>
      </c>
      <c r="I21" s="13" t="e">
        <f>F21/F400</f>
        <v>#REF!</v>
      </c>
      <c r="J21" s="40"/>
      <c r="K21" s="10">
        <f aca="true" t="shared" si="4" ref="K21:S21">K22</f>
        <v>0</v>
      </c>
      <c r="L21" s="10">
        <f t="shared" si="4"/>
        <v>0</v>
      </c>
      <c r="M21" s="10">
        <f t="shared" si="4"/>
        <v>300</v>
      </c>
      <c r="N21" s="10">
        <f t="shared" si="4"/>
        <v>0</v>
      </c>
      <c r="O21" s="10">
        <f t="shared" si="4"/>
        <v>0</v>
      </c>
      <c r="P21" s="342">
        <f t="shared" si="4"/>
        <v>600</v>
      </c>
      <c r="Q21" s="342">
        <f t="shared" si="4"/>
        <v>0</v>
      </c>
      <c r="R21" s="342">
        <f t="shared" si="4"/>
        <v>0</v>
      </c>
      <c r="S21" s="342">
        <f t="shared" si="4"/>
        <v>400</v>
      </c>
      <c r="T21" s="13">
        <f t="shared" si="1"/>
        <v>1.4249312381619385E-05</v>
      </c>
    </row>
    <row r="22" spans="1:20" ht="13.5" customHeight="1">
      <c r="A22" s="27"/>
      <c r="B22" s="11" t="s">
        <v>332</v>
      </c>
      <c r="C22" s="21"/>
      <c r="D22" s="21"/>
      <c r="E22" s="21" t="s">
        <v>512</v>
      </c>
      <c r="F22" s="8">
        <v>400</v>
      </c>
      <c r="G22" s="156">
        <v>400</v>
      </c>
      <c r="H22" s="154">
        <f t="shared" si="0"/>
        <v>100</v>
      </c>
      <c r="I22" s="9" t="e">
        <f>F22/F400</f>
        <v>#REF!</v>
      </c>
      <c r="K22" s="11">
        <v>0</v>
      </c>
      <c r="L22" s="11">
        <v>0</v>
      </c>
      <c r="M22" s="11">
        <v>300</v>
      </c>
      <c r="N22" s="11">
        <v>0</v>
      </c>
      <c r="O22" s="11">
        <v>0</v>
      </c>
      <c r="P22" s="263">
        <v>600</v>
      </c>
      <c r="Q22" s="263">
        <v>0</v>
      </c>
      <c r="R22" s="263">
        <v>0</v>
      </c>
      <c r="S22" s="11">
        <v>400</v>
      </c>
      <c r="T22" s="9">
        <f t="shared" si="1"/>
        <v>1.4249312381619385E-05</v>
      </c>
    </row>
    <row r="23" spans="1:20" ht="18" customHeight="1">
      <c r="A23" s="22" t="s">
        <v>218</v>
      </c>
      <c r="B23" s="10" t="s">
        <v>334</v>
      </c>
      <c r="C23" s="30" t="s">
        <v>749</v>
      </c>
      <c r="D23" s="30"/>
      <c r="E23" s="30"/>
      <c r="F23" s="12">
        <f>F24</f>
        <v>42000</v>
      </c>
      <c r="G23" s="155">
        <f>G24</f>
        <v>32000</v>
      </c>
      <c r="H23" s="148">
        <f t="shared" si="0"/>
        <v>76.19047619047619</v>
      </c>
      <c r="I23" s="13" t="e">
        <f>F23/F400</f>
        <v>#REF!</v>
      </c>
      <c r="J23" s="40"/>
      <c r="K23" s="10">
        <f aca="true" t="shared" si="5" ref="K23:S23">K24</f>
        <v>0</v>
      </c>
      <c r="L23" s="10">
        <f t="shared" si="5"/>
        <v>0</v>
      </c>
      <c r="M23" s="10">
        <f t="shared" si="5"/>
        <v>17000</v>
      </c>
      <c r="N23" s="10">
        <f t="shared" si="5"/>
        <v>0</v>
      </c>
      <c r="O23" s="10">
        <f t="shared" si="5"/>
        <v>0</v>
      </c>
      <c r="P23" s="342">
        <f t="shared" si="5"/>
        <v>5000</v>
      </c>
      <c r="Q23" s="342">
        <f t="shared" si="5"/>
        <v>0</v>
      </c>
      <c r="R23" s="342">
        <f t="shared" si="5"/>
        <v>0</v>
      </c>
      <c r="S23" s="342">
        <f t="shared" si="5"/>
        <v>3100</v>
      </c>
      <c r="T23" s="13">
        <f t="shared" si="1"/>
        <v>0.00011043217095755023</v>
      </c>
    </row>
    <row r="24" spans="1:20" ht="14.25" customHeight="1">
      <c r="A24" s="27" t="s">
        <v>320</v>
      </c>
      <c r="B24" s="11" t="s">
        <v>335</v>
      </c>
      <c r="C24" s="30"/>
      <c r="D24" s="30" t="s">
        <v>751</v>
      </c>
      <c r="E24" s="30"/>
      <c r="F24" s="12">
        <f>F26+F27+F28</f>
        <v>42000</v>
      </c>
      <c r="G24" s="155">
        <f>G26+G27+G28+G29</f>
        <v>32000</v>
      </c>
      <c r="H24" s="148">
        <f t="shared" si="0"/>
        <v>76.19047619047619</v>
      </c>
      <c r="I24" s="13" t="e">
        <f>F24/F400</f>
        <v>#REF!</v>
      </c>
      <c r="J24" s="40"/>
      <c r="K24" s="10">
        <f>K26+K27+K28+K29</f>
        <v>0</v>
      </c>
      <c r="L24" s="10">
        <f>L26+L27+L28+L29</f>
        <v>0</v>
      </c>
      <c r="M24" s="10">
        <f>M26+M27+M28+M29</f>
        <v>17000</v>
      </c>
      <c r="N24" s="10">
        <f>N26+N27+N28+N29</f>
        <v>0</v>
      </c>
      <c r="O24" s="10">
        <f>O26+O27+O28+O29</f>
        <v>0</v>
      </c>
      <c r="P24" s="342">
        <f>P26+P27+P28+P29+P25</f>
        <v>5000</v>
      </c>
      <c r="Q24" s="342">
        <f>Q26+Q27+Q28+Q29+Q25</f>
        <v>0</v>
      </c>
      <c r="R24" s="342">
        <f>R26+R27+R28+R29+R25</f>
        <v>0</v>
      </c>
      <c r="S24" s="342">
        <f>S25+S26+S27</f>
        <v>3100</v>
      </c>
      <c r="T24" s="13">
        <f t="shared" si="1"/>
        <v>0.00011043217095755023</v>
      </c>
    </row>
    <row r="25" spans="1:20" ht="16.5" customHeight="1">
      <c r="A25" s="27"/>
      <c r="B25" s="11" t="s">
        <v>332</v>
      </c>
      <c r="C25" s="30"/>
      <c r="D25" s="30"/>
      <c r="E25" s="34" t="s">
        <v>512</v>
      </c>
      <c r="F25" s="136"/>
      <c r="G25" s="164"/>
      <c r="H25" s="165"/>
      <c r="I25" s="166"/>
      <c r="J25" s="146"/>
      <c r="K25" s="23"/>
      <c r="L25" s="23"/>
      <c r="M25" s="23"/>
      <c r="N25" s="23"/>
      <c r="O25" s="23"/>
      <c r="P25" s="350">
        <v>200</v>
      </c>
      <c r="Q25" s="350">
        <v>0</v>
      </c>
      <c r="R25" s="350">
        <v>0</v>
      </c>
      <c r="S25" s="11">
        <v>400</v>
      </c>
      <c r="T25" s="9">
        <f t="shared" si="1"/>
        <v>1.4249312381619385E-05</v>
      </c>
    </row>
    <row r="26" spans="1:20" ht="15" customHeight="1">
      <c r="A26" s="27"/>
      <c r="B26" s="14" t="s">
        <v>171</v>
      </c>
      <c r="C26" s="21"/>
      <c r="D26" s="21"/>
      <c r="E26" s="21" t="s">
        <v>513</v>
      </c>
      <c r="F26" s="8">
        <v>17000</v>
      </c>
      <c r="G26" s="156">
        <v>18200</v>
      </c>
      <c r="H26" s="154">
        <f t="shared" si="0"/>
        <v>107.05882352941177</v>
      </c>
      <c r="I26" s="9" t="e">
        <f>F26/F400</f>
        <v>#REF!</v>
      </c>
      <c r="K26" s="11">
        <v>0</v>
      </c>
      <c r="L26" s="11">
        <v>0</v>
      </c>
      <c r="M26" s="11">
        <v>1747</v>
      </c>
      <c r="N26" s="11">
        <v>0</v>
      </c>
      <c r="O26" s="11">
        <v>0</v>
      </c>
      <c r="P26" s="263">
        <v>2617</v>
      </c>
      <c r="Q26" s="263">
        <v>0</v>
      </c>
      <c r="R26" s="263">
        <v>0</v>
      </c>
      <c r="S26" s="11">
        <v>2700</v>
      </c>
      <c r="T26" s="9">
        <f t="shared" si="1"/>
        <v>9.618285857593085E-05</v>
      </c>
    </row>
    <row r="27" spans="1:20" ht="14.25" customHeight="1">
      <c r="A27" s="27"/>
      <c r="B27" s="11" t="s">
        <v>172</v>
      </c>
      <c r="C27" s="21"/>
      <c r="D27" s="21"/>
      <c r="E27" s="21" t="s">
        <v>92</v>
      </c>
      <c r="F27" s="8">
        <v>18000</v>
      </c>
      <c r="G27" s="156">
        <v>9400</v>
      </c>
      <c r="H27" s="154">
        <f t="shared" si="0"/>
        <v>52.22222222222223</v>
      </c>
      <c r="I27" s="9" t="e">
        <f>F27/F400</f>
        <v>#REF!</v>
      </c>
      <c r="K27" s="11">
        <v>0</v>
      </c>
      <c r="L27" s="11">
        <v>0</v>
      </c>
      <c r="M27" s="11">
        <v>7749</v>
      </c>
      <c r="N27" s="11">
        <v>0</v>
      </c>
      <c r="O27" s="11">
        <v>0</v>
      </c>
      <c r="P27" s="263">
        <v>1700</v>
      </c>
      <c r="Q27" s="263">
        <v>0</v>
      </c>
      <c r="R27" s="263">
        <v>0</v>
      </c>
      <c r="S27" s="11">
        <v>0</v>
      </c>
      <c r="T27" s="9">
        <f t="shared" si="1"/>
        <v>0</v>
      </c>
    </row>
    <row r="28" spans="1:20" ht="0.75" customHeight="1" hidden="1">
      <c r="A28" s="27"/>
      <c r="B28" s="14" t="s">
        <v>328</v>
      </c>
      <c r="C28" s="21"/>
      <c r="D28" s="21"/>
      <c r="E28" s="21" t="s">
        <v>511</v>
      </c>
      <c r="F28" s="8">
        <v>7000</v>
      </c>
      <c r="G28" s="156">
        <v>4400</v>
      </c>
      <c r="H28" s="154">
        <f t="shared" si="0"/>
        <v>62.857142857142854</v>
      </c>
      <c r="I28" s="9" t="e">
        <f>F28/F400</f>
        <v>#REF!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  <c r="P28" s="263">
        <v>483</v>
      </c>
      <c r="Q28" s="263">
        <v>0</v>
      </c>
      <c r="R28" s="263">
        <v>0</v>
      </c>
      <c r="S28" s="11">
        <v>0</v>
      </c>
      <c r="T28" s="9">
        <f t="shared" si="1"/>
        <v>0</v>
      </c>
    </row>
    <row r="29" spans="1:20" ht="12.75" customHeight="1" hidden="1">
      <c r="A29" s="27"/>
      <c r="B29" s="14" t="s">
        <v>340</v>
      </c>
      <c r="C29" s="21"/>
      <c r="D29" s="21"/>
      <c r="E29" s="21" t="s">
        <v>341</v>
      </c>
      <c r="F29" s="8"/>
      <c r="G29" s="156">
        <v>0</v>
      </c>
      <c r="H29" s="154"/>
      <c r="I29" s="9"/>
      <c r="K29" s="11">
        <v>0</v>
      </c>
      <c r="L29" s="11">
        <v>0</v>
      </c>
      <c r="M29" s="11">
        <v>7304</v>
      </c>
      <c r="N29" s="11">
        <v>0</v>
      </c>
      <c r="O29" s="11">
        <v>0</v>
      </c>
      <c r="P29" s="263">
        <v>0</v>
      </c>
      <c r="Q29" s="263">
        <v>0</v>
      </c>
      <c r="R29" s="263">
        <v>0</v>
      </c>
      <c r="S29" s="11"/>
      <c r="T29" s="9">
        <f t="shared" si="1"/>
        <v>0</v>
      </c>
    </row>
    <row r="30" spans="1:20" ht="24.75" customHeight="1">
      <c r="A30" s="22" t="s">
        <v>220</v>
      </c>
      <c r="B30" s="7" t="s">
        <v>342</v>
      </c>
      <c r="C30" s="30" t="s">
        <v>764</v>
      </c>
      <c r="D30" s="21"/>
      <c r="E30" s="21"/>
      <c r="F30" s="8">
        <f>F31</f>
        <v>576998</v>
      </c>
      <c r="G30" s="155">
        <f>G31</f>
        <v>906816</v>
      </c>
      <c r="H30" s="148">
        <f t="shared" si="0"/>
        <v>157.1610300209013</v>
      </c>
      <c r="I30" s="13" t="e">
        <f>F30/F400</f>
        <v>#REF!</v>
      </c>
      <c r="J30" s="40"/>
      <c r="K30" s="10">
        <f aca="true" t="shared" si="6" ref="K30:S30">K31</f>
        <v>0</v>
      </c>
      <c r="L30" s="10">
        <f t="shared" si="6"/>
        <v>200000</v>
      </c>
      <c r="M30" s="10">
        <f t="shared" si="6"/>
        <v>569480</v>
      </c>
      <c r="N30" s="10">
        <f t="shared" si="6"/>
        <v>0</v>
      </c>
      <c r="O30" s="10">
        <f t="shared" si="6"/>
        <v>0</v>
      </c>
      <c r="P30" s="342">
        <f t="shared" si="6"/>
        <v>454101</v>
      </c>
      <c r="Q30" s="342">
        <f t="shared" si="6"/>
        <v>0</v>
      </c>
      <c r="R30" s="342">
        <f t="shared" si="6"/>
        <v>0</v>
      </c>
      <c r="S30" s="342">
        <f t="shared" si="6"/>
        <v>1307647</v>
      </c>
      <c r="T30" s="13">
        <f t="shared" si="1"/>
        <v>0.04658267646971861</v>
      </c>
    </row>
    <row r="31" spans="1:20" ht="15.75" customHeight="1">
      <c r="A31" s="22" t="s">
        <v>320</v>
      </c>
      <c r="B31" s="7" t="s">
        <v>343</v>
      </c>
      <c r="C31" s="30"/>
      <c r="D31" s="30" t="s">
        <v>766</v>
      </c>
      <c r="E31" s="30"/>
      <c r="F31" s="12">
        <f>F35+F37</f>
        <v>576998</v>
      </c>
      <c r="G31" s="155">
        <f>G35+G37+G36</f>
        <v>906816</v>
      </c>
      <c r="H31" s="148">
        <f t="shared" si="0"/>
        <v>157.1610300209013</v>
      </c>
      <c r="I31" s="13" t="e">
        <f>F31/F400</f>
        <v>#REF!</v>
      </c>
      <c r="J31" s="40"/>
      <c r="K31" s="10">
        <f>K35+K37+K36</f>
        <v>0</v>
      </c>
      <c r="L31" s="10">
        <f>L35+L37+L36</f>
        <v>200000</v>
      </c>
      <c r="M31" s="10">
        <f>M35+M36+M37+M34+M33</f>
        <v>569480</v>
      </c>
      <c r="N31" s="10">
        <f>N35+N36+N37+N34+N33</f>
        <v>0</v>
      </c>
      <c r="O31" s="10">
        <f>O35+O36+O37+O34+O33</f>
        <v>0</v>
      </c>
      <c r="P31" s="342">
        <f>P35+P36+P37+P34+P33+P32</f>
        <v>454101</v>
      </c>
      <c r="Q31" s="342">
        <f>Q35+Q36+Q37+Q34+Q33+Q32</f>
        <v>0</v>
      </c>
      <c r="R31" s="342">
        <f>R35+R36+R37+R34+R33+R32</f>
        <v>0</v>
      </c>
      <c r="S31" s="342">
        <f>S32+S33+S34+S35+S36+S37</f>
        <v>1307647</v>
      </c>
      <c r="T31" s="13">
        <f t="shared" si="1"/>
        <v>0.04658267646971861</v>
      </c>
    </row>
    <row r="32" spans="1:20" ht="15.75" customHeight="1">
      <c r="A32" s="22"/>
      <c r="B32" s="11" t="s">
        <v>332</v>
      </c>
      <c r="C32" s="30"/>
      <c r="D32" s="34"/>
      <c r="E32" s="34" t="s">
        <v>512</v>
      </c>
      <c r="F32" s="136"/>
      <c r="G32" s="164"/>
      <c r="H32" s="165"/>
      <c r="I32" s="166"/>
      <c r="J32" s="146"/>
      <c r="K32" s="23"/>
      <c r="L32" s="23"/>
      <c r="M32" s="23"/>
      <c r="N32" s="23"/>
      <c r="O32" s="23"/>
      <c r="P32" s="350">
        <v>26</v>
      </c>
      <c r="Q32" s="350">
        <v>0</v>
      </c>
      <c r="R32" s="350">
        <v>0</v>
      </c>
      <c r="S32" s="11">
        <v>26</v>
      </c>
      <c r="T32" s="9">
        <f t="shared" si="1"/>
        <v>9.2620530480526E-07</v>
      </c>
    </row>
    <row r="33" spans="1:20" ht="17.25" customHeight="1">
      <c r="A33" s="24"/>
      <c r="B33" s="14" t="s">
        <v>171</v>
      </c>
      <c r="C33" s="34"/>
      <c r="D33" s="34"/>
      <c r="E33" s="34" t="s">
        <v>513</v>
      </c>
      <c r="F33" s="136"/>
      <c r="G33" s="164"/>
      <c r="H33" s="165"/>
      <c r="I33" s="166"/>
      <c r="J33" s="146"/>
      <c r="K33" s="23"/>
      <c r="L33" s="23"/>
      <c r="M33" s="23">
        <v>8213</v>
      </c>
      <c r="N33" s="23">
        <v>0</v>
      </c>
      <c r="O33" s="23">
        <v>0</v>
      </c>
      <c r="P33" s="263">
        <v>9201</v>
      </c>
      <c r="Q33" s="263">
        <v>0</v>
      </c>
      <c r="R33" s="263">
        <v>0</v>
      </c>
      <c r="S33" s="11">
        <v>1967</v>
      </c>
      <c r="T33" s="9">
        <f t="shared" si="1"/>
        <v>7.007099363661332E-05</v>
      </c>
    </row>
    <row r="34" spans="1:20" ht="15.75" customHeight="1">
      <c r="A34" s="24"/>
      <c r="B34" s="11" t="s">
        <v>338</v>
      </c>
      <c r="C34" s="34"/>
      <c r="D34" s="34"/>
      <c r="E34" s="34" t="s">
        <v>514</v>
      </c>
      <c r="F34" s="136"/>
      <c r="G34" s="164"/>
      <c r="H34" s="165"/>
      <c r="I34" s="166"/>
      <c r="J34" s="146"/>
      <c r="K34" s="23"/>
      <c r="L34" s="23"/>
      <c r="M34" s="23">
        <v>4300</v>
      </c>
      <c r="N34" s="23">
        <v>0</v>
      </c>
      <c r="O34" s="23">
        <v>0</v>
      </c>
      <c r="P34" s="263">
        <v>6780</v>
      </c>
      <c r="Q34" s="263">
        <v>0</v>
      </c>
      <c r="R34" s="263">
        <v>0</v>
      </c>
      <c r="S34" s="11">
        <v>0</v>
      </c>
      <c r="T34" s="9">
        <f t="shared" si="1"/>
        <v>0</v>
      </c>
    </row>
    <row r="35" spans="1:20" ht="15.75" customHeight="1">
      <c r="A35" s="24"/>
      <c r="B35" s="32" t="s">
        <v>173</v>
      </c>
      <c r="C35" s="21"/>
      <c r="D35" s="21"/>
      <c r="E35" s="21" t="s">
        <v>92</v>
      </c>
      <c r="F35" s="8">
        <v>570998</v>
      </c>
      <c r="G35" s="156">
        <v>882016</v>
      </c>
      <c r="H35" s="154">
        <f t="shared" si="0"/>
        <v>154.46919253657632</v>
      </c>
      <c r="I35" s="9" t="e">
        <f>F35/F400</f>
        <v>#REF!</v>
      </c>
      <c r="K35" s="11">
        <v>0</v>
      </c>
      <c r="L35" s="11">
        <v>200000</v>
      </c>
      <c r="M35" s="11">
        <v>547167</v>
      </c>
      <c r="N35" s="11">
        <v>0</v>
      </c>
      <c r="O35" s="11">
        <v>0</v>
      </c>
      <c r="P35" s="263">
        <v>425245</v>
      </c>
      <c r="Q35" s="263">
        <v>0</v>
      </c>
      <c r="R35" s="263">
        <v>0</v>
      </c>
      <c r="S35" s="11">
        <v>1267868</v>
      </c>
      <c r="T35" s="9">
        <f t="shared" si="1"/>
        <v>0.04516561797664751</v>
      </c>
    </row>
    <row r="36" spans="1:20" ht="15" customHeight="1">
      <c r="A36" s="24"/>
      <c r="B36" s="32" t="s">
        <v>328</v>
      </c>
      <c r="C36" s="21"/>
      <c r="D36" s="21"/>
      <c r="E36" s="21" t="s">
        <v>511</v>
      </c>
      <c r="F36" s="8"/>
      <c r="G36" s="156">
        <v>7000</v>
      </c>
      <c r="H36" s="154"/>
      <c r="I36" s="9"/>
      <c r="K36" s="11">
        <v>0</v>
      </c>
      <c r="L36" s="11">
        <v>0</v>
      </c>
      <c r="M36" s="11">
        <v>800</v>
      </c>
      <c r="N36" s="11">
        <v>0</v>
      </c>
      <c r="O36" s="11">
        <v>0</v>
      </c>
      <c r="P36" s="263">
        <v>4899</v>
      </c>
      <c r="Q36" s="263">
        <v>0</v>
      </c>
      <c r="R36" s="263">
        <v>0</v>
      </c>
      <c r="S36" s="11">
        <v>3286</v>
      </c>
      <c r="T36" s="9">
        <f t="shared" si="1"/>
        <v>0.00011705810121500325</v>
      </c>
    </row>
    <row r="37" spans="1:20" ht="14.25" customHeight="1">
      <c r="A37" s="22"/>
      <c r="B37" s="32" t="s">
        <v>596</v>
      </c>
      <c r="C37" s="21"/>
      <c r="D37" s="21"/>
      <c r="E37" s="21" t="s">
        <v>515</v>
      </c>
      <c r="F37" s="8">
        <v>6000</v>
      </c>
      <c r="G37" s="156">
        <v>17800</v>
      </c>
      <c r="H37" s="154">
        <f t="shared" si="0"/>
        <v>296.6666666666667</v>
      </c>
      <c r="I37" s="9" t="e">
        <f>F37/F400</f>
        <v>#REF!</v>
      </c>
      <c r="K37" s="11">
        <v>0</v>
      </c>
      <c r="L37" s="11">
        <v>0</v>
      </c>
      <c r="M37" s="11">
        <v>9000</v>
      </c>
      <c r="N37" s="11">
        <v>0</v>
      </c>
      <c r="O37" s="11">
        <v>0</v>
      </c>
      <c r="P37" s="263">
        <v>7950</v>
      </c>
      <c r="Q37" s="263">
        <v>0</v>
      </c>
      <c r="R37" s="263">
        <v>0</v>
      </c>
      <c r="S37" s="11">
        <v>34500</v>
      </c>
      <c r="T37" s="9">
        <f t="shared" si="1"/>
        <v>0.0012290031929146719</v>
      </c>
    </row>
    <row r="38" spans="1:20" ht="17.25" customHeight="1">
      <c r="A38" s="22" t="s">
        <v>222</v>
      </c>
      <c r="B38" s="157" t="s">
        <v>357</v>
      </c>
      <c r="C38" s="86">
        <v>750</v>
      </c>
      <c r="D38" s="36"/>
      <c r="E38" s="36"/>
      <c r="F38" s="8">
        <f>F39</f>
        <v>585000</v>
      </c>
      <c r="G38" s="155">
        <f>G39</f>
        <v>740250</v>
      </c>
      <c r="H38" s="148">
        <f t="shared" si="0"/>
        <v>126.53846153846153</v>
      </c>
      <c r="I38" s="13" t="e">
        <f>F38/F400</f>
        <v>#REF!</v>
      </c>
      <c r="J38" s="40"/>
      <c r="K38" s="10">
        <f>K39</f>
        <v>0</v>
      </c>
      <c r="L38" s="10">
        <f>L39</f>
        <v>0</v>
      </c>
      <c r="M38" s="10">
        <f aca="true" t="shared" si="7" ref="M38:R38">M39+M46</f>
        <v>567720</v>
      </c>
      <c r="N38" s="10">
        <f t="shared" si="7"/>
        <v>0</v>
      </c>
      <c r="O38" s="10">
        <f t="shared" si="7"/>
        <v>0</v>
      </c>
      <c r="P38" s="343">
        <f t="shared" si="7"/>
        <v>536299</v>
      </c>
      <c r="Q38" s="343">
        <f t="shared" si="7"/>
        <v>0</v>
      </c>
      <c r="R38" s="343">
        <f t="shared" si="7"/>
        <v>0</v>
      </c>
      <c r="S38" s="343">
        <f>S39</f>
        <v>742838</v>
      </c>
      <c r="T38" s="13">
        <f t="shared" si="1"/>
        <v>0.02646232677734345</v>
      </c>
    </row>
    <row r="39" spans="1:20" ht="15.75" customHeight="1">
      <c r="A39" s="22" t="s">
        <v>320</v>
      </c>
      <c r="B39" s="10" t="s">
        <v>358</v>
      </c>
      <c r="C39" s="86"/>
      <c r="D39" s="86">
        <v>75020</v>
      </c>
      <c r="E39" s="86"/>
      <c r="F39" s="12">
        <f>F40+F41+F42+F43+F44+F45</f>
        <v>585000</v>
      </c>
      <c r="G39" s="155">
        <f>G40+G41+G42+G43+G44+G45</f>
        <v>740250</v>
      </c>
      <c r="H39" s="148">
        <f t="shared" si="0"/>
        <v>126.53846153846153</v>
      </c>
      <c r="I39" s="13" t="e">
        <f>F39/F400</f>
        <v>#REF!</v>
      </c>
      <c r="J39" s="40"/>
      <c r="K39" s="10">
        <f>K40+K41+K42+K43+K45</f>
        <v>0</v>
      </c>
      <c r="L39" s="10">
        <f>L40+L41+L42+L43+L45</f>
        <v>0</v>
      </c>
      <c r="M39" s="10">
        <f aca="true" t="shared" si="8" ref="M39:R39">M40+M41+M42+M43+M45+M44</f>
        <v>564670</v>
      </c>
      <c r="N39" s="10">
        <f t="shared" si="8"/>
        <v>0</v>
      </c>
      <c r="O39" s="10">
        <f t="shared" si="8"/>
        <v>0</v>
      </c>
      <c r="P39" s="342">
        <f t="shared" si="8"/>
        <v>536299</v>
      </c>
      <c r="Q39" s="342">
        <f t="shared" si="8"/>
        <v>0</v>
      </c>
      <c r="R39" s="342">
        <f t="shared" si="8"/>
        <v>0</v>
      </c>
      <c r="S39" s="342">
        <f>S40+S41+S42+S44+S45</f>
        <v>742838</v>
      </c>
      <c r="T39" s="13">
        <f t="shared" si="1"/>
        <v>0.02646232677734345</v>
      </c>
    </row>
    <row r="40" spans="1:20" ht="16.5" customHeight="1">
      <c r="A40" s="27"/>
      <c r="B40" s="11" t="s">
        <v>359</v>
      </c>
      <c r="C40" s="21"/>
      <c r="D40" s="21"/>
      <c r="E40" s="21" t="s">
        <v>516</v>
      </c>
      <c r="F40" s="8">
        <v>500000</v>
      </c>
      <c r="G40" s="156">
        <v>650000</v>
      </c>
      <c r="H40" s="154">
        <f t="shared" si="0"/>
        <v>130</v>
      </c>
      <c r="I40" s="9" t="e">
        <f>F40/F400</f>
        <v>#REF!</v>
      </c>
      <c r="K40" s="11">
        <v>0</v>
      </c>
      <c r="L40" s="11">
        <v>0</v>
      </c>
      <c r="M40" s="11">
        <v>529000</v>
      </c>
      <c r="N40" s="11">
        <v>0</v>
      </c>
      <c r="O40" s="11">
        <v>0</v>
      </c>
      <c r="P40" s="263">
        <v>523273</v>
      </c>
      <c r="Q40" s="263">
        <v>0</v>
      </c>
      <c r="R40" s="263">
        <v>0</v>
      </c>
      <c r="S40" s="11">
        <v>725000</v>
      </c>
      <c r="T40" s="9">
        <f t="shared" si="1"/>
        <v>0.025826878691685134</v>
      </c>
    </row>
    <row r="41" spans="1:20" ht="18" customHeight="1">
      <c r="A41" s="27"/>
      <c r="B41" s="11" t="s">
        <v>332</v>
      </c>
      <c r="C41" s="21"/>
      <c r="D41" s="21"/>
      <c r="E41" s="21" t="s">
        <v>512</v>
      </c>
      <c r="F41" s="8">
        <v>10000</v>
      </c>
      <c r="G41" s="156">
        <v>10000</v>
      </c>
      <c r="H41" s="154">
        <f t="shared" si="0"/>
        <v>100</v>
      </c>
      <c r="I41" s="9" t="e">
        <f>F41/F400</f>
        <v>#REF!</v>
      </c>
      <c r="K41" s="11">
        <v>0</v>
      </c>
      <c r="L41" s="11">
        <v>0</v>
      </c>
      <c r="M41" s="11">
        <v>1800</v>
      </c>
      <c r="N41" s="11">
        <v>0</v>
      </c>
      <c r="O41" s="11">
        <v>0</v>
      </c>
      <c r="P41" s="263">
        <v>1800</v>
      </c>
      <c r="Q41" s="263">
        <v>0</v>
      </c>
      <c r="R41" s="263">
        <v>0</v>
      </c>
      <c r="S41" s="11">
        <v>1400</v>
      </c>
      <c r="T41" s="9">
        <f t="shared" si="1"/>
        <v>4.987259333566784E-05</v>
      </c>
    </row>
    <row r="42" spans="1:20" ht="15.75" customHeight="1">
      <c r="A42" s="27"/>
      <c r="B42" s="14" t="s">
        <v>171</v>
      </c>
      <c r="C42" s="21"/>
      <c r="D42" s="21"/>
      <c r="E42" s="21" t="s">
        <v>513</v>
      </c>
      <c r="F42" s="8">
        <v>2000</v>
      </c>
      <c r="G42" s="156">
        <v>5000</v>
      </c>
      <c r="H42" s="154">
        <f t="shared" si="0"/>
        <v>250</v>
      </c>
      <c r="I42" s="9" t="e">
        <f>F42/F400</f>
        <v>#REF!</v>
      </c>
      <c r="K42" s="11">
        <v>0</v>
      </c>
      <c r="L42" s="11">
        <v>0</v>
      </c>
      <c r="M42" s="11">
        <v>1070</v>
      </c>
      <c r="N42" s="11">
        <v>0</v>
      </c>
      <c r="O42" s="11">
        <v>0</v>
      </c>
      <c r="P42" s="263">
        <v>676</v>
      </c>
      <c r="Q42" s="263">
        <v>0</v>
      </c>
      <c r="R42" s="263">
        <v>0</v>
      </c>
      <c r="S42" s="11">
        <v>738</v>
      </c>
      <c r="T42" s="9">
        <f t="shared" si="1"/>
        <v>2.6289981344087764E-05</v>
      </c>
    </row>
    <row r="43" spans="1:20" ht="20.25" customHeight="1" hidden="1">
      <c r="A43" s="27"/>
      <c r="B43" s="14" t="s">
        <v>338</v>
      </c>
      <c r="C43" s="21"/>
      <c r="D43" s="21"/>
      <c r="E43" s="21" t="s">
        <v>339</v>
      </c>
      <c r="F43" s="8">
        <v>2000</v>
      </c>
      <c r="G43" s="156">
        <v>5250</v>
      </c>
      <c r="H43" s="154">
        <f t="shared" si="0"/>
        <v>262.5</v>
      </c>
      <c r="I43" s="9" t="e">
        <f>F43/F400</f>
        <v>#REF!</v>
      </c>
      <c r="K43" s="11">
        <v>0</v>
      </c>
      <c r="L43" s="11">
        <v>0</v>
      </c>
      <c r="M43" s="11">
        <v>3800</v>
      </c>
      <c r="N43" s="11">
        <v>0</v>
      </c>
      <c r="O43" s="11">
        <v>0</v>
      </c>
      <c r="P43" s="263">
        <v>0</v>
      </c>
      <c r="Q43" s="263">
        <v>0</v>
      </c>
      <c r="R43" s="263">
        <v>0</v>
      </c>
      <c r="S43" s="11"/>
      <c r="T43" s="9">
        <f t="shared" si="1"/>
        <v>0</v>
      </c>
    </row>
    <row r="44" spans="1:20" ht="15" customHeight="1">
      <c r="A44" s="27"/>
      <c r="B44" s="11" t="s">
        <v>338</v>
      </c>
      <c r="C44" s="21"/>
      <c r="D44" s="21"/>
      <c r="E44" s="21" t="s">
        <v>514</v>
      </c>
      <c r="F44" s="8">
        <v>10000</v>
      </c>
      <c r="G44" s="156">
        <v>0</v>
      </c>
      <c r="H44" s="154">
        <f t="shared" si="0"/>
        <v>0</v>
      </c>
      <c r="I44" s="9" t="e">
        <f>F44/F400</f>
        <v>#REF!</v>
      </c>
      <c r="K44" s="11"/>
      <c r="L44" s="11"/>
      <c r="M44" s="11">
        <v>4000</v>
      </c>
      <c r="N44" s="11">
        <v>0</v>
      </c>
      <c r="O44" s="11">
        <v>0</v>
      </c>
      <c r="P44" s="263">
        <v>2785</v>
      </c>
      <c r="Q44" s="263">
        <v>0</v>
      </c>
      <c r="R44" s="263">
        <v>0</v>
      </c>
      <c r="S44" s="11">
        <v>100</v>
      </c>
      <c r="T44" s="9">
        <f t="shared" si="1"/>
        <v>3.5623280954048463E-06</v>
      </c>
    </row>
    <row r="45" spans="1:20" ht="15" customHeight="1">
      <c r="A45" s="27"/>
      <c r="B45" s="14" t="s">
        <v>360</v>
      </c>
      <c r="C45" s="21"/>
      <c r="D45" s="21"/>
      <c r="E45" s="21" t="s">
        <v>515</v>
      </c>
      <c r="F45" s="8">
        <v>61000</v>
      </c>
      <c r="G45" s="156">
        <v>70000</v>
      </c>
      <c r="H45" s="154">
        <f t="shared" si="0"/>
        <v>114.75409836065573</v>
      </c>
      <c r="I45" s="9" t="e">
        <f>F45/F400</f>
        <v>#REF!</v>
      </c>
      <c r="K45" s="11">
        <v>0</v>
      </c>
      <c r="L45" s="11">
        <v>0</v>
      </c>
      <c r="M45" s="11">
        <v>25000</v>
      </c>
      <c r="N45" s="11">
        <v>0</v>
      </c>
      <c r="O45" s="11">
        <v>0</v>
      </c>
      <c r="P45" s="263">
        <v>7765</v>
      </c>
      <c r="Q45" s="263">
        <v>0</v>
      </c>
      <c r="R45" s="263">
        <v>0</v>
      </c>
      <c r="S45" s="11">
        <v>15600</v>
      </c>
      <c r="T45" s="9">
        <f t="shared" si="1"/>
        <v>0.000555723182883156</v>
      </c>
    </row>
    <row r="46" spans="1:20" ht="21.75" customHeight="1" hidden="1">
      <c r="A46" s="87" t="s">
        <v>330</v>
      </c>
      <c r="B46" s="7" t="s">
        <v>795</v>
      </c>
      <c r="C46" s="30"/>
      <c r="D46" s="30" t="s">
        <v>794</v>
      </c>
      <c r="E46" s="30"/>
      <c r="F46" s="12"/>
      <c r="G46" s="155"/>
      <c r="H46" s="148"/>
      <c r="I46" s="13"/>
      <c r="J46" s="40"/>
      <c r="K46" s="10"/>
      <c r="L46" s="10"/>
      <c r="M46" s="10">
        <f aca="true" t="shared" si="9" ref="M46:R46">M47</f>
        <v>3050</v>
      </c>
      <c r="N46" s="10">
        <f t="shared" si="9"/>
        <v>0</v>
      </c>
      <c r="O46" s="10">
        <f t="shared" si="9"/>
        <v>0</v>
      </c>
      <c r="P46" s="343">
        <f t="shared" si="9"/>
        <v>0</v>
      </c>
      <c r="Q46" s="343">
        <f t="shared" si="9"/>
        <v>0</v>
      </c>
      <c r="R46" s="343">
        <f t="shared" si="9"/>
        <v>0</v>
      </c>
      <c r="S46" s="11"/>
      <c r="T46" s="9">
        <f t="shared" si="1"/>
        <v>0</v>
      </c>
    </row>
    <row r="47" spans="1:20" ht="0.75" customHeight="1" hidden="1">
      <c r="A47" s="54"/>
      <c r="B47" s="14" t="s">
        <v>452</v>
      </c>
      <c r="C47" s="21"/>
      <c r="D47" s="21"/>
      <c r="E47" s="21" t="s">
        <v>451</v>
      </c>
      <c r="F47" s="8"/>
      <c r="G47" s="156"/>
      <c r="H47" s="154"/>
      <c r="I47" s="9"/>
      <c r="K47" s="11"/>
      <c r="L47" s="11"/>
      <c r="M47" s="11">
        <v>3050</v>
      </c>
      <c r="N47" s="11">
        <v>0</v>
      </c>
      <c r="O47" s="11">
        <v>0</v>
      </c>
      <c r="P47" s="263">
        <v>0</v>
      </c>
      <c r="Q47" s="263">
        <v>0</v>
      </c>
      <c r="R47" s="263">
        <v>0</v>
      </c>
      <c r="S47" s="11"/>
      <c r="T47" s="9">
        <f t="shared" si="1"/>
        <v>0</v>
      </c>
    </row>
    <row r="48" spans="1:20" ht="25.5" customHeight="1" hidden="1">
      <c r="A48" s="87" t="s">
        <v>224</v>
      </c>
      <c r="B48" s="7" t="s">
        <v>361</v>
      </c>
      <c r="C48" s="86">
        <v>754</v>
      </c>
      <c r="D48" s="36"/>
      <c r="E48" s="36"/>
      <c r="F48" s="8">
        <f>F49+F51</f>
        <v>18600</v>
      </c>
      <c r="G48" s="155">
        <f>G49+G51</f>
        <v>19700</v>
      </c>
      <c r="H48" s="148">
        <f t="shared" si="0"/>
        <v>105.91397849462365</v>
      </c>
      <c r="I48" s="13" t="e">
        <f>F48/F400</f>
        <v>#REF!</v>
      </c>
      <c r="J48" s="40"/>
      <c r="K48" s="10">
        <f aca="true" t="shared" si="10" ref="K48:P48">K49+K51</f>
        <v>0</v>
      </c>
      <c r="L48" s="10">
        <f t="shared" si="10"/>
        <v>0</v>
      </c>
      <c r="M48" s="10">
        <f t="shared" si="10"/>
        <v>6000</v>
      </c>
      <c r="N48" s="10">
        <f t="shared" si="10"/>
        <v>0</v>
      </c>
      <c r="O48" s="10">
        <f t="shared" si="10"/>
        <v>0</v>
      </c>
      <c r="P48" s="342">
        <f t="shared" si="10"/>
        <v>1000</v>
      </c>
      <c r="Q48" s="342">
        <f>Q49+Q51</f>
        <v>0</v>
      </c>
      <c r="R48" s="342">
        <f>R49+R51</f>
        <v>0</v>
      </c>
      <c r="S48" s="342">
        <f>S49+S51</f>
        <v>0</v>
      </c>
      <c r="T48" s="13">
        <f t="shared" si="1"/>
        <v>0</v>
      </c>
    </row>
    <row r="49" spans="1:20" ht="21.75" customHeight="1" hidden="1">
      <c r="A49" s="87" t="s">
        <v>320</v>
      </c>
      <c r="B49" s="137" t="s">
        <v>810</v>
      </c>
      <c r="C49" s="86"/>
      <c r="D49" s="86">
        <v>75405</v>
      </c>
      <c r="E49" s="86"/>
      <c r="F49" s="12">
        <f>F50</f>
        <v>9000</v>
      </c>
      <c r="G49" s="155">
        <f>G50</f>
        <v>9700</v>
      </c>
      <c r="H49" s="148">
        <f t="shared" si="0"/>
        <v>107.77777777777777</v>
      </c>
      <c r="I49" s="13" t="e">
        <f>F49/F400</f>
        <v>#REF!</v>
      </c>
      <c r="J49" s="40"/>
      <c r="K49" s="10">
        <f aca="true" t="shared" si="11" ref="K49:R49">K50</f>
        <v>0</v>
      </c>
      <c r="L49" s="10">
        <f t="shared" si="11"/>
        <v>0</v>
      </c>
      <c r="M49" s="10">
        <f t="shared" si="11"/>
        <v>5000</v>
      </c>
      <c r="N49" s="10">
        <f t="shared" si="11"/>
        <v>0</v>
      </c>
      <c r="O49" s="10">
        <f t="shared" si="11"/>
        <v>0</v>
      </c>
      <c r="P49" s="342">
        <f t="shared" si="11"/>
        <v>0</v>
      </c>
      <c r="Q49" s="342">
        <f t="shared" si="11"/>
        <v>0</v>
      </c>
      <c r="R49" s="342">
        <f t="shared" si="11"/>
        <v>0</v>
      </c>
      <c r="S49" s="11"/>
      <c r="T49" s="13">
        <f aca="true" t="shared" si="12" ref="T49:T77">S49/$S$400</f>
        <v>0</v>
      </c>
    </row>
    <row r="50" spans="1:20" ht="0.75" customHeight="1" hidden="1">
      <c r="A50" s="63"/>
      <c r="B50" s="159" t="s">
        <v>328</v>
      </c>
      <c r="C50" s="21"/>
      <c r="D50" s="21"/>
      <c r="E50" s="21" t="s">
        <v>329</v>
      </c>
      <c r="F50" s="8">
        <v>9000</v>
      </c>
      <c r="G50" s="156">
        <v>9700</v>
      </c>
      <c r="H50" s="154">
        <f t="shared" si="0"/>
        <v>107.77777777777777</v>
      </c>
      <c r="I50" s="9" t="e">
        <f>F50/F400</f>
        <v>#REF!</v>
      </c>
      <c r="K50" s="11">
        <v>0</v>
      </c>
      <c r="L50" s="11">
        <v>0</v>
      </c>
      <c r="M50" s="11">
        <v>5000</v>
      </c>
      <c r="N50" s="11">
        <v>0</v>
      </c>
      <c r="O50" s="11">
        <v>0</v>
      </c>
      <c r="P50" s="263">
        <v>0</v>
      </c>
      <c r="Q50" s="263">
        <v>0</v>
      </c>
      <c r="R50" s="263">
        <v>0</v>
      </c>
      <c r="S50" s="11"/>
      <c r="T50" s="13">
        <f t="shared" si="12"/>
        <v>0</v>
      </c>
    </row>
    <row r="51" spans="1:20" ht="24.75" customHeight="1" hidden="1">
      <c r="A51" s="22" t="s">
        <v>320</v>
      </c>
      <c r="B51" s="7" t="s">
        <v>184</v>
      </c>
      <c r="C51" s="30"/>
      <c r="D51" s="30" t="s">
        <v>827</v>
      </c>
      <c r="E51" s="30"/>
      <c r="F51" s="12">
        <f>F52</f>
        <v>9600</v>
      </c>
      <c r="G51" s="155">
        <f>G52</f>
        <v>10000</v>
      </c>
      <c r="H51" s="148">
        <f t="shared" si="0"/>
        <v>104.16666666666667</v>
      </c>
      <c r="I51" s="13" t="e">
        <f>F51/F400</f>
        <v>#REF!</v>
      </c>
      <c r="J51" s="40"/>
      <c r="K51" s="10">
        <f aca="true" t="shared" si="13" ref="K51:S51">K52</f>
        <v>0</v>
      </c>
      <c r="L51" s="10">
        <f t="shared" si="13"/>
        <v>0</v>
      </c>
      <c r="M51" s="10">
        <f t="shared" si="13"/>
        <v>1000</v>
      </c>
      <c r="N51" s="10">
        <f t="shared" si="13"/>
        <v>0</v>
      </c>
      <c r="O51" s="10">
        <f t="shared" si="13"/>
        <v>0</v>
      </c>
      <c r="P51" s="342">
        <f t="shared" si="13"/>
        <v>1000</v>
      </c>
      <c r="Q51" s="342">
        <f t="shared" si="13"/>
        <v>0</v>
      </c>
      <c r="R51" s="342">
        <f t="shared" si="13"/>
        <v>0</v>
      </c>
      <c r="S51" s="342">
        <f t="shared" si="13"/>
        <v>0</v>
      </c>
      <c r="T51" s="13">
        <f t="shared" si="12"/>
        <v>0</v>
      </c>
    </row>
    <row r="52" spans="1:20" ht="13.5" customHeight="1" hidden="1">
      <c r="A52" s="27"/>
      <c r="B52" s="14" t="s">
        <v>328</v>
      </c>
      <c r="C52" s="21"/>
      <c r="D52" s="21"/>
      <c r="E52" s="21" t="s">
        <v>511</v>
      </c>
      <c r="F52" s="8">
        <v>9600</v>
      </c>
      <c r="G52" s="156">
        <v>10000</v>
      </c>
      <c r="H52" s="154">
        <f t="shared" si="0"/>
        <v>104.16666666666667</v>
      </c>
      <c r="I52" s="9" t="e">
        <f>F52/F400</f>
        <v>#REF!</v>
      </c>
      <c r="K52" s="11">
        <v>0</v>
      </c>
      <c r="L52" s="11">
        <v>0</v>
      </c>
      <c r="M52" s="11">
        <v>1000</v>
      </c>
      <c r="N52" s="11">
        <v>0</v>
      </c>
      <c r="O52" s="11">
        <v>0</v>
      </c>
      <c r="P52" s="263">
        <v>1000</v>
      </c>
      <c r="Q52" s="263">
        <v>0</v>
      </c>
      <c r="R52" s="263">
        <v>0</v>
      </c>
      <c r="S52" s="11">
        <v>0</v>
      </c>
      <c r="T52" s="9">
        <f t="shared" si="12"/>
        <v>0</v>
      </c>
    </row>
    <row r="53" spans="1:20" ht="22.5" customHeight="1">
      <c r="A53" s="22">
        <v>5</v>
      </c>
      <c r="B53" s="380" t="s">
        <v>544</v>
      </c>
      <c r="C53" s="30" t="s">
        <v>362</v>
      </c>
      <c r="D53" s="21"/>
      <c r="E53" s="21"/>
      <c r="F53" s="8">
        <f>F54</f>
        <v>285742</v>
      </c>
      <c r="G53" s="155">
        <f>G54</f>
        <v>239445</v>
      </c>
      <c r="H53" s="148">
        <f t="shared" si="0"/>
        <v>83.79762163070183</v>
      </c>
      <c r="I53" s="13" t="e">
        <f>F53/F400</f>
        <v>#REF!</v>
      </c>
      <c r="J53" s="40"/>
      <c r="K53" s="10">
        <f aca="true" t="shared" si="14" ref="K53:M54">K54</f>
        <v>0</v>
      </c>
      <c r="L53" s="10">
        <f t="shared" si="14"/>
        <v>0</v>
      </c>
      <c r="M53" s="10">
        <f t="shared" si="14"/>
        <v>134163</v>
      </c>
      <c r="N53" s="10">
        <f aca="true" t="shared" si="15" ref="N53:S54">N54</f>
        <v>0</v>
      </c>
      <c r="O53" s="10">
        <f t="shared" si="15"/>
        <v>0</v>
      </c>
      <c r="P53" s="342">
        <f t="shared" si="15"/>
        <v>141331</v>
      </c>
      <c r="Q53" s="342">
        <f t="shared" si="15"/>
        <v>0</v>
      </c>
      <c r="R53" s="342">
        <f t="shared" si="15"/>
        <v>0</v>
      </c>
      <c r="S53" s="342">
        <f t="shared" si="15"/>
        <v>1680881</v>
      </c>
      <c r="T53" s="13">
        <f t="shared" si="12"/>
        <v>0.05987849611332193</v>
      </c>
    </row>
    <row r="54" spans="1:20" ht="24" customHeight="1">
      <c r="A54" s="27" t="s">
        <v>320</v>
      </c>
      <c r="B54" s="15" t="s">
        <v>542</v>
      </c>
      <c r="C54" s="21"/>
      <c r="D54" s="30" t="s">
        <v>363</v>
      </c>
      <c r="E54" s="30"/>
      <c r="F54" s="12">
        <f>F55</f>
        <v>285742</v>
      </c>
      <c r="G54" s="155">
        <f>G55</f>
        <v>239445</v>
      </c>
      <c r="H54" s="148">
        <f t="shared" si="0"/>
        <v>83.79762163070183</v>
      </c>
      <c r="I54" s="13" t="e">
        <f>F54/F400</f>
        <v>#REF!</v>
      </c>
      <c r="J54" s="40"/>
      <c r="K54" s="10">
        <f t="shared" si="14"/>
        <v>0</v>
      </c>
      <c r="L54" s="10">
        <f t="shared" si="14"/>
        <v>0</v>
      </c>
      <c r="M54" s="10">
        <f t="shared" si="14"/>
        <v>134163</v>
      </c>
      <c r="N54" s="10">
        <f t="shared" si="15"/>
        <v>0</v>
      </c>
      <c r="O54" s="10">
        <f t="shared" si="15"/>
        <v>0</v>
      </c>
      <c r="P54" s="342">
        <f t="shared" si="15"/>
        <v>141331</v>
      </c>
      <c r="Q54" s="342">
        <f t="shared" si="15"/>
        <v>0</v>
      </c>
      <c r="R54" s="342">
        <f t="shared" si="15"/>
        <v>0</v>
      </c>
      <c r="S54" s="342">
        <f>S55+S56</f>
        <v>1680881</v>
      </c>
      <c r="T54" s="13">
        <f t="shared" si="12"/>
        <v>0.05987849611332193</v>
      </c>
    </row>
    <row r="55" spans="1:20" ht="15" customHeight="1">
      <c r="A55" s="27"/>
      <c r="B55" s="14" t="s">
        <v>543</v>
      </c>
      <c r="C55" s="21"/>
      <c r="D55" s="21"/>
      <c r="E55" s="21" t="s">
        <v>517</v>
      </c>
      <c r="F55" s="8">
        <v>285742</v>
      </c>
      <c r="G55" s="156">
        <v>239445</v>
      </c>
      <c r="H55" s="154">
        <f t="shared" si="0"/>
        <v>83.79762163070183</v>
      </c>
      <c r="I55" s="9" t="e">
        <f>F55/F400</f>
        <v>#REF!</v>
      </c>
      <c r="K55" s="11">
        <v>0</v>
      </c>
      <c r="L55" s="11">
        <v>0</v>
      </c>
      <c r="M55" s="11">
        <v>134163</v>
      </c>
      <c r="N55" s="11">
        <v>0</v>
      </c>
      <c r="O55" s="11">
        <v>0</v>
      </c>
      <c r="P55" s="263">
        <v>141331</v>
      </c>
      <c r="Q55" s="263">
        <v>0</v>
      </c>
      <c r="R55" s="263">
        <v>0</v>
      </c>
      <c r="S55" s="11">
        <v>1610209</v>
      </c>
      <c r="T55" s="9">
        <f t="shared" si="12"/>
        <v>0.057360927601737416</v>
      </c>
    </row>
    <row r="56" spans="1:20" ht="14.25" customHeight="1">
      <c r="A56" s="27"/>
      <c r="B56" s="14" t="s">
        <v>755</v>
      </c>
      <c r="C56" s="21"/>
      <c r="D56" s="21"/>
      <c r="E56" s="21" t="s">
        <v>518</v>
      </c>
      <c r="F56" s="8"/>
      <c r="G56" s="156"/>
      <c r="H56" s="154"/>
      <c r="I56" s="9"/>
      <c r="K56" s="11"/>
      <c r="L56" s="11"/>
      <c r="M56" s="11"/>
      <c r="N56" s="11"/>
      <c r="O56" s="11"/>
      <c r="P56" s="263"/>
      <c r="Q56" s="263"/>
      <c r="R56" s="263"/>
      <c r="S56" s="263">
        <v>70672</v>
      </c>
      <c r="T56" s="9">
        <f t="shared" si="12"/>
        <v>0.002517568511584513</v>
      </c>
    </row>
    <row r="57" spans="1:20" ht="15" customHeight="1">
      <c r="A57" s="22">
        <v>6</v>
      </c>
      <c r="B57" s="157" t="s">
        <v>364</v>
      </c>
      <c r="C57" s="86">
        <v>758</v>
      </c>
      <c r="D57" s="36"/>
      <c r="E57" s="36"/>
      <c r="F57" s="8">
        <f>F58+F60</f>
        <v>90000</v>
      </c>
      <c r="G57" s="155">
        <f>G60+G58</f>
        <v>100000</v>
      </c>
      <c r="H57" s="148">
        <f t="shared" si="0"/>
        <v>111.11111111111111</v>
      </c>
      <c r="I57" s="13" t="e">
        <f>F57/F400</f>
        <v>#REF!</v>
      </c>
      <c r="J57" s="40"/>
      <c r="K57" s="10">
        <f aca="true" t="shared" si="16" ref="K57:M58">K58</f>
        <v>0</v>
      </c>
      <c r="L57" s="10">
        <f t="shared" si="16"/>
        <v>0</v>
      </c>
      <c r="M57" s="10">
        <f t="shared" si="16"/>
        <v>60000</v>
      </c>
      <c r="N57" s="10">
        <f aca="true" t="shared" si="17" ref="N57:S58">N58</f>
        <v>0</v>
      </c>
      <c r="O57" s="10">
        <f t="shared" si="17"/>
        <v>0</v>
      </c>
      <c r="P57" s="342">
        <f t="shared" si="17"/>
        <v>20000</v>
      </c>
      <c r="Q57" s="342">
        <f t="shared" si="17"/>
        <v>0</v>
      </c>
      <c r="R57" s="342">
        <f t="shared" si="17"/>
        <v>0</v>
      </c>
      <c r="S57" s="342">
        <f t="shared" si="17"/>
        <v>40000</v>
      </c>
      <c r="T57" s="13">
        <f t="shared" si="12"/>
        <v>0.0014249312381619385</v>
      </c>
    </row>
    <row r="58" spans="1:20" ht="14.25" customHeight="1">
      <c r="A58" s="54" t="s">
        <v>320</v>
      </c>
      <c r="B58" s="115" t="s">
        <v>365</v>
      </c>
      <c r="C58" s="160"/>
      <c r="D58" s="167">
        <v>75814</v>
      </c>
      <c r="E58" s="200"/>
      <c r="F58" s="171">
        <f>F59</f>
        <v>90000</v>
      </c>
      <c r="G58" s="201">
        <f>G59</f>
        <v>100000</v>
      </c>
      <c r="H58" s="203">
        <f t="shared" si="0"/>
        <v>111.11111111111111</v>
      </c>
      <c r="I58" s="202" t="e">
        <f>F58/F400</f>
        <v>#REF!</v>
      </c>
      <c r="J58" s="40"/>
      <c r="K58" s="135">
        <f t="shared" si="16"/>
        <v>0</v>
      </c>
      <c r="L58" s="135">
        <f t="shared" si="16"/>
        <v>0</v>
      </c>
      <c r="M58" s="135">
        <f t="shared" si="16"/>
        <v>60000</v>
      </c>
      <c r="N58" s="135">
        <f t="shared" si="17"/>
        <v>0</v>
      </c>
      <c r="O58" s="135">
        <f t="shared" si="17"/>
        <v>0</v>
      </c>
      <c r="P58" s="351">
        <f t="shared" si="17"/>
        <v>20000</v>
      </c>
      <c r="Q58" s="351">
        <f t="shared" si="17"/>
        <v>0</v>
      </c>
      <c r="R58" s="351">
        <f t="shared" si="17"/>
        <v>0</v>
      </c>
      <c r="S58" s="351">
        <f t="shared" si="17"/>
        <v>40000</v>
      </c>
      <c r="T58" s="202">
        <f t="shared" si="12"/>
        <v>0.0014249312381619385</v>
      </c>
    </row>
    <row r="59" spans="1:20" ht="15" customHeight="1">
      <c r="A59" s="27"/>
      <c r="B59" s="14" t="s">
        <v>328</v>
      </c>
      <c r="C59" s="36"/>
      <c r="D59" s="36"/>
      <c r="E59" s="21" t="s">
        <v>511</v>
      </c>
      <c r="F59" s="8">
        <v>90000</v>
      </c>
      <c r="G59" s="156">
        <v>100000</v>
      </c>
      <c r="H59" s="154">
        <f t="shared" si="0"/>
        <v>111.11111111111111</v>
      </c>
      <c r="I59" s="9" t="e">
        <f>F59/F400</f>
        <v>#REF!</v>
      </c>
      <c r="J59" s="130"/>
      <c r="K59" s="11">
        <v>0</v>
      </c>
      <c r="L59" s="11">
        <v>0</v>
      </c>
      <c r="M59" s="11">
        <v>60000</v>
      </c>
      <c r="N59" s="11">
        <v>0</v>
      </c>
      <c r="O59" s="11">
        <v>0</v>
      </c>
      <c r="P59" s="263">
        <v>20000</v>
      </c>
      <c r="Q59" s="263">
        <v>0</v>
      </c>
      <c r="R59" s="263">
        <v>0</v>
      </c>
      <c r="S59" s="11">
        <v>40000</v>
      </c>
      <c r="T59" s="9">
        <f t="shared" si="12"/>
        <v>0.0014249312381619385</v>
      </c>
    </row>
    <row r="60" spans="1:20" ht="26.25" customHeight="1" hidden="1">
      <c r="A60" s="426" t="s">
        <v>330</v>
      </c>
      <c r="B60" s="427" t="s">
        <v>366</v>
      </c>
      <c r="C60" s="428"/>
      <c r="D60" s="428">
        <v>75809</v>
      </c>
      <c r="E60" s="428"/>
      <c r="F60" s="429">
        <f>F61+F62</f>
        <v>0</v>
      </c>
      <c r="G60" s="430">
        <f>G61+G62</f>
        <v>0</v>
      </c>
      <c r="H60" s="385">
        <f t="shared" si="0"/>
      </c>
      <c r="I60" s="422" t="e">
        <f>F60/F400</f>
        <v>#REF!</v>
      </c>
      <c r="K60" s="44"/>
      <c r="L60" s="44"/>
      <c r="M60" s="44"/>
      <c r="N60" s="44"/>
      <c r="O60" s="44"/>
      <c r="P60" s="112"/>
      <c r="Q60" s="112"/>
      <c r="R60" s="112"/>
      <c r="S60" s="44"/>
      <c r="T60" s="365">
        <f t="shared" si="12"/>
        <v>0</v>
      </c>
    </row>
    <row r="61" spans="1:20" ht="52.5" customHeight="1" hidden="1">
      <c r="A61" s="54"/>
      <c r="B61" s="115" t="s">
        <v>367</v>
      </c>
      <c r="C61" s="160"/>
      <c r="D61" s="160"/>
      <c r="E61" s="160">
        <v>271</v>
      </c>
      <c r="F61" s="134">
        <v>0</v>
      </c>
      <c r="G61" s="162">
        <v>0</v>
      </c>
      <c r="H61" s="154">
        <f t="shared" si="0"/>
      </c>
      <c r="I61" s="163" t="e">
        <f>F61/F400</f>
        <v>#REF!</v>
      </c>
      <c r="K61" s="11"/>
      <c r="L61" s="11"/>
      <c r="M61" s="11"/>
      <c r="N61" s="11"/>
      <c r="O61" s="11"/>
      <c r="P61" s="263"/>
      <c r="Q61" s="263"/>
      <c r="R61" s="263"/>
      <c r="S61" s="11"/>
      <c r="T61" s="9">
        <f t="shared" si="12"/>
        <v>0</v>
      </c>
    </row>
    <row r="62" spans="1:20" ht="63.75" customHeight="1" hidden="1">
      <c r="A62" s="54"/>
      <c r="B62" s="115" t="s">
        <v>368</v>
      </c>
      <c r="C62" s="160"/>
      <c r="D62" s="160"/>
      <c r="E62" s="160">
        <v>630</v>
      </c>
      <c r="F62" s="134">
        <v>0</v>
      </c>
      <c r="G62" s="162">
        <v>0</v>
      </c>
      <c r="H62" s="154">
        <f t="shared" si="0"/>
      </c>
      <c r="I62" s="163" t="e">
        <f>F62/F400</f>
        <v>#REF!</v>
      </c>
      <c r="K62" s="11"/>
      <c r="L62" s="11"/>
      <c r="M62" s="11"/>
      <c r="N62" s="11"/>
      <c r="O62" s="11"/>
      <c r="P62" s="263"/>
      <c r="Q62" s="263"/>
      <c r="R62" s="263"/>
      <c r="S62" s="11"/>
      <c r="T62" s="9">
        <f t="shared" si="12"/>
        <v>0</v>
      </c>
    </row>
    <row r="63" spans="1:20" ht="16.5" customHeight="1">
      <c r="A63" s="22">
        <v>7</v>
      </c>
      <c r="B63" s="157" t="s">
        <v>369</v>
      </c>
      <c r="C63" s="30" t="s">
        <v>858</v>
      </c>
      <c r="D63" s="21"/>
      <c r="E63" s="21"/>
      <c r="F63" s="8" t="e">
        <f>F64+F77</f>
        <v>#REF!</v>
      </c>
      <c r="G63" s="155" t="e">
        <f>G64+G77+G70+G83</f>
        <v>#REF!</v>
      </c>
      <c r="H63" s="148" t="e">
        <f t="shared" si="0"/>
        <v>#REF!</v>
      </c>
      <c r="I63" s="13" t="e">
        <f>F63/F400</f>
        <v>#REF!</v>
      </c>
      <c r="J63" s="40"/>
      <c r="K63" s="10" t="e">
        <f>K64+K77+K70+K83</f>
        <v>#REF!</v>
      </c>
      <c r="L63" s="10" t="e">
        <f>L64+L77+L70+L83</f>
        <v>#REF!</v>
      </c>
      <c r="M63" s="10" t="e">
        <f>M64+M70+M77+M83</f>
        <v>#REF!</v>
      </c>
      <c r="N63" s="10" t="e">
        <f>N64+N70+N83</f>
        <v>#REF!</v>
      </c>
      <c r="O63" s="10" t="e">
        <f>O64+O70+O83</f>
        <v>#REF!</v>
      </c>
      <c r="P63" s="342">
        <f>P64+P70+P83+P88</f>
        <v>282149</v>
      </c>
      <c r="Q63" s="342">
        <f>Q64+Q70+Q83+Q88</f>
        <v>44118</v>
      </c>
      <c r="R63" s="342">
        <f>R64+R70+R83+R88</f>
        <v>4387</v>
      </c>
      <c r="S63" s="342">
        <f>S64+S70</f>
        <v>93531</v>
      </c>
      <c r="T63" s="13">
        <f t="shared" si="12"/>
        <v>0.0033318810909131065</v>
      </c>
    </row>
    <row r="64" spans="1:20" ht="15" customHeight="1">
      <c r="A64" s="22" t="s">
        <v>320</v>
      </c>
      <c r="B64" s="10" t="s">
        <v>874</v>
      </c>
      <c r="C64" s="30"/>
      <c r="D64" s="30" t="s">
        <v>873</v>
      </c>
      <c r="E64" s="30"/>
      <c r="F64" s="12" t="e">
        <f>F65+F66+#REF!+F67</f>
        <v>#REF!</v>
      </c>
      <c r="G64" s="155" t="e">
        <f>G65+G66+#REF!+G67</f>
        <v>#REF!</v>
      </c>
      <c r="H64" s="148" t="e">
        <f t="shared" si="0"/>
        <v>#REF!</v>
      </c>
      <c r="I64" s="13" t="e">
        <f>F64/F400</f>
        <v>#REF!</v>
      </c>
      <c r="J64" s="40"/>
      <c r="K64" s="10" t="e">
        <f>K65+K66+#REF!+K67</f>
        <v>#REF!</v>
      </c>
      <c r="L64" s="10" t="e">
        <f>L65+L66+#REF!+L67</f>
        <v>#REF!</v>
      </c>
      <c r="M64" s="10" t="e">
        <f>M65+M66+#REF!+M67+M68</f>
        <v>#REF!</v>
      </c>
      <c r="N64" s="10" t="e">
        <f>N65+N66+#REF!+N67+N68</f>
        <v>#REF!</v>
      </c>
      <c r="O64" s="10" t="e">
        <f>O65+O66+#REF!+O67+O68</f>
        <v>#REF!</v>
      </c>
      <c r="P64" s="343">
        <f>P65+P66+P67+P68</f>
        <v>30000</v>
      </c>
      <c r="Q64" s="343">
        <f>Q65+Q66+Q67+Q68</f>
        <v>0</v>
      </c>
      <c r="R64" s="343">
        <f>R65+R66+R67+R68</f>
        <v>4387</v>
      </c>
      <c r="S64" s="343">
        <f>S65+S66+S69</f>
        <v>15844</v>
      </c>
      <c r="T64" s="13">
        <f t="shared" si="12"/>
        <v>0.0005644152634359438</v>
      </c>
    </row>
    <row r="65" spans="1:20" ht="13.5" customHeight="1">
      <c r="A65" s="27"/>
      <c r="B65" s="11" t="s">
        <v>332</v>
      </c>
      <c r="C65" s="21"/>
      <c r="D65" s="21"/>
      <c r="E65" s="21" t="s">
        <v>512</v>
      </c>
      <c r="F65" s="8">
        <v>490</v>
      </c>
      <c r="G65" s="156">
        <v>500</v>
      </c>
      <c r="H65" s="154">
        <f t="shared" si="0"/>
        <v>102.04081632653062</v>
      </c>
      <c r="I65" s="9" t="e">
        <f>F65/F400</f>
        <v>#REF!</v>
      </c>
      <c r="K65" s="11">
        <v>0</v>
      </c>
      <c r="L65" s="11">
        <v>0</v>
      </c>
      <c r="M65" s="11">
        <v>450</v>
      </c>
      <c r="N65" s="11">
        <v>0</v>
      </c>
      <c r="O65" s="11">
        <v>0</v>
      </c>
      <c r="P65" s="263">
        <v>600</v>
      </c>
      <c r="Q65" s="263">
        <v>0</v>
      </c>
      <c r="R65" s="263">
        <v>0</v>
      </c>
      <c r="S65" s="11">
        <v>500</v>
      </c>
      <c r="T65" s="9">
        <f t="shared" si="12"/>
        <v>1.781164047702423E-05</v>
      </c>
    </row>
    <row r="66" spans="1:20" ht="14.25" customHeight="1">
      <c r="A66" s="27"/>
      <c r="B66" s="298" t="s">
        <v>597</v>
      </c>
      <c r="C66" s="21"/>
      <c r="D66" s="21"/>
      <c r="E66" s="21" t="s">
        <v>513</v>
      </c>
      <c r="F66" s="8">
        <v>41300</v>
      </c>
      <c r="G66" s="156">
        <v>53461</v>
      </c>
      <c r="H66" s="154">
        <f t="shared" si="0"/>
        <v>129.4455205811138</v>
      </c>
      <c r="I66" s="9" t="e">
        <f>F66/F400</f>
        <v>#REF!</v>
      </c>
      <c r="K66" s="11">
        <v>0</v>
      </c>
      <c r="L66" s="11">
        <v>0</v>
      </c>
      <c r="M66" s="11">
        <v>39124</v>
      </c>
      <c r="N66" s="11">
        <v>0</v>
      </c>
      <c r="O66" s="11">
        <v>0</v>
      </c>
      <c r="P66" s="263">
        <v>29000</v>
      </c>
      <c r="Q66" s="263">
        <v>0</v>
      </c>
      <c r="R66" s="263">
        <v>4000</v>
      </c>
      <c r="S66" s="11">
        <v>15344</v>
      </c>
      <c r="T66" s="9">
        <f t="shared" si="12"/>
        <v>0.0005466036229589196</v>
      </c>
    </row>
    <row r="67" spans="1:20" ht="17.25" customHeight="1" hidden="1">
      <c r="A67" s="27"/>
      <c r="B67" s="14" t="s">
        <v>328</v>
      </c>
      <c r="C67" s="21"/>
      <c r="D67" s="21"/>
      <c r="E67" s="21" t="s">
        <v>511</v>
      </c>
      <c r="F67" s="8">
        <v>9420</v>
      </c>
      <c r="G67" s="156">
        <v>8420</v>
      </c>
      <c r="H67" s="154">
        <f t="shared" si="0"/>
        <v>89.38428874734608</v>
      </c>
      <c r="I67" s="9" t="e">
        <f>F67/F400</f>
        <v>#REF!</v>
      </c>
      <c r="K67" s="11">
        <v>0</v>
      </c>
      <c r="L67" s="11">
        <v>0</v>
      </c>
      <c r="M67" s="11">
        <v>220</v>
      </c>
      <c r="N67" s="11">
        <v>0</v>
      </c>
      <c r="O67" s="11">
        <v>0</v>
      </c>
      <c r="P67" s="263">
        <v>400</v>
      </c>
      <c r="Q67" s="263">
        <v>0</v>
      </c>
      <c r="R67" s="263">
        <v>387</v>
      </c>
      <c r="S67" s="11">
        <v>0</v>
      </c>
      <c r="T67" s="9">
        <f t="shared" si="12"/>
        <v>0</v>
      </c>
    </row>
    <row r="68" spans="1:20" ht="18.75" customHeight="1" hidden="1">
      <c r="A68" s="27"/>
      <c r="B68" s="14" t="s">
        <v>360</v>
      </c>
      <c r="C68" s="21"/>
      <c r="D68" s="21"/>
      <c r="E68" s="21" t="s">
        <v>341</v>
      </c>
      <c r="F68" s="8"/>
      <c r="G68" s="156"/>
      <c r="H68" s="154"/>
      <c r="I68" s="9"/>
      <c r="K68" s="11"/>
      <c r="L68" s="11"/>
      <c r="M68" s="11">
        <v>1732</v>
      </c>
      <c r="N68" s="11">
        <v>0</v>
      </c>
      <c r="O68" s="11">
        <v>0</v>
      </c>
      <c r="P68" s="263">
        <v>0</v>
      </c>
      <c r="Q68" s="263">
        <v>0</v>
      </c>
      <c r="R68" s="263">
        <v>0</v>
      </c>
      <c r="S68" s="11"/>
      <c r="T68" s="9">
        <f t="shared" si="12"/>
        <v>0</v>
      </c>
    </row>
    <row r="69" spans="1:20" ht="15" customHeight="1">
      <c r="A69" s="27"/>
      <c r="B69" s="14" t="s">
        <v>360</v>
      </c>
      <c r="C69" s="21"/>
      <c r="D69" s="21"/>
      <c r="E69" s="21" t="s">
        <v>515</v>
      </c>
      <c r="F69" s="8"/>
      <c r="G69" s="156"/>
      <c r="H69" s="154"/>
      <c r="I69" s="9"/>
      <c r="K69" s="11"/>
      <c r="L69" s="11"/>
      <c r="M69" s="11"/>
      <c r="N69" s="11"/>
      <c r="O69" s="11"/>
      <c r="P69" s="263"/>
      <c r="Q69" s="263"/>
      <c r="R69" s="263"/>
      <c r="S69" s="263">
        <v>0</v>
      </c>
      <c r="T69" s="9">
        <f t="shared" si="12"/>
        <v>0</v>
      </c>
    </row>
    <row r="70" spans="1:20" ht="18.75" customHeight="1">
      <c r="A70" s="22" t="s">
        <v>330</v>
      </c>
      <c r="B70" s="7" t="s">
        <v>884</v>
      </c>
      <c r="C70" s="30"/>
      <c r="D70" s="30" t="s">
        <v>883</v>
      </c>
      <c r="E70" s="30"/>
      <c r="F70" s="12"/>
      <c r="G70" s="155">
        <f>G71+G72+G73+G74+G75+G76</f>
        <v>302185</v>
      </c>
      <c r="H70" s="148"/>
      <c r="I70" s="13"/>
      <c r="J70" s="40"/>
      <c r="K70" s="10">
        <f aca="true" t="shared" si="18" ref="K70:P70">K71+K72+K73+K74+K75+K76</f>
        <v>0</v>
      </c>
      <c r="L70" s="10">
        <f t="shared" si="18"/>
        <v>0</v>
      </c>
      <c r="M70" s="10">
        <f t="shared" si="18"/>
        <v>159655</v>
      </c>
      <c r="N70" s="10">
        <f t="shared" si="18"/>
        <v>0</v>
      </c>
      <c r="O70" s="10">
        <f t="shared" si="18"/>
        <v>0</v>
      </c>
      <c r="P70" s="342">
        <f t="shared" si="18"/>
        <v>252149</v>
      </c>
      <c r="Q70" s="342">
        <f>Q71+Q72+Q73+Q74+Q75+Q76</f>
        <v>0</v>
      </c>
      <c r="R70" s="342">
        <f>R71+R72+R73+R74+R75+R76</f>
        <v>0</v>
      </c>
      <c r="S70" s="342">
        <f>S71+S72+S73+S74+S75+S76</f>
        <v>77687</v>
      </c>
      <c r="T70" s="13">
        <f t="shared" si="12"/>
        <v>0.002767465827477163</v>
      </c>
    </row>
    <row r="71" spans="1:20" ht="18.75" customHeight="1">
      <c r="A71" s="27"/>
      <c r="B71" s="11" t="s">
        <v>332</v>
      </c>
      <c r="C71" s="21"/>
      <c r="D71" s="21"/>
      <c r="E71" s="21" t="s">
        <v>512</v>
      </c>
      <c r="F71" s="8"/>
      <c r="G71" s="156">
        <v>330</v>
      </c>
      <c r="H71" s="154"/>
      <c r="I71" s="9"/>
      <c r="K71" s="11">
        <v>0</v>
      </c>
      <c r="L71" s="11"/>
      <c r="M71" s="11">
        <v>0</v>
      </c>
      <c r="N71" s="11">
        <v>0</v>
      </c>
      <c r="O71" s="11">
        <v>0</v>
      </c>
      <c r="P71" s="263">
        <v>300</v>
      </c>
      <c r="Q71" s="263">
        <v>0</v>
      </c>
      <c r="R71" s="263">
        <v>0</v>
      </c>
      <c r="S71" s="11">
        <v>300</v>
      </c>
      <c r="T71" s="9">
        <f t="shared" si="12"/>
        <v>1.0686984286214538E-05</v>
      </c>
    </row>
    <row r="72" spans="1:20" ht="17.25" customHeight="1">
      <c r="A72" s="27"/>
      <c r="B72" s="298" t="s">
        <v>597</v>
      </c>
      <c r="C72" s="21"/>
      <c r="D72" s="21"/>
      <c r="E72" s="21" t="s">
        <v>513</v>
      </c>
      <c r="F72" s="8"/>
      <c r="G72" s="156">
        <v>195458</v>
      </c>
      <c r="H72" s="154"/>
      <c r="I72" s="9"/>
      <c r="K72" s="11">
        <v>0</v>
      </c>
      <c r="L72" s="11">
        <v>0</v>
      </c>
      <c r="M72" s="11">
        <v>84152</v>
      </c>
      <c r="N72" s="11">
        <v>0</v>
      </c>
      <c r="O72" s="11">
        <v>0</v>
      </c>
      <c r="P72" s="263">
        <v>180558</v>
      </c>
      <c r="Q72" s="263">
        <v>0</v>
      </c>
      <c r="R72" s="263">
        <v>0</v>
      </c>
      <c r="S72" s="11">
        <v>22863</v>
      </c>
      <c r="T72" s="9">
        <f t="shared" si="12"/>
        <v>0.00081445507245241</v>
      </c>
    </row>
    <row r="73" spans="1:20" ht="13.5" customHeight="1">
      <c r="A73" s="27"/>
      <c r="B73" s="14" t="s">
        <v>338</v>
      </c>
      <c r="C73" s="21"/>
      <c r="D73" s="21"/>
      <c r="E73" s="21" t="s">
        <v>514</v>
      </c>
      <c r="F73" s="8"/>
      <c r="G73" s="156">
        <v>92116</v>
      </c>
      <c r="H73" s="154"/>
      <c r="I73" s="9"/>
      <c r="K73" s="11">
        <v>0</v>
      </c>
      <c r="L73" s="11">
        <v>0</v>
      </c>
      <c r="M73" s="11">
        <v>69767</v>
      </c>
      <c r="N73" s="11">
        <v>0</v>
      </c>
      <c r="O73" s="11">
        <v>0</v>
      </c>
      <c r="P73" s="263">
        <v>68098</v>
      </c>
      <c r="Q73" s="263">
        <v>0</v>
      </c>
      <c r="R73" s="263">
        <v>0</v>
      </c>
      <c r="S73" s="11">
        <v>53024</v>
      </c>
      <c r="T73" s="9">
        <f t="shared" si="12"/>
        <v>0.0018888888493074655</v>
      </c>
    </row>
    <row r="74" spans="1:20" ht="15" customHeight="1">
      <c r="A74" s="27"/>
      <c r="B74" s="14" t="s">
        <v>93</v>
      </c>
      <c r="C74" s="21"/>
      <c r="D74" s="21"/>
      <c r="E74" s="21" t="s">
        <v>92</v>
      </c>
      <c r="F74" s="8"/>
      <c r="G74" s="156">
        <v>200</v>
      </c>
      <c r="H74" s="154"/>
      <c r="I74" s="9"/>
      <c r="K74" s="11">
        <v>0</v>
      </c>
      <c r="L74" s="11">
        <v>0</v>
      </c>
      <c r="M74" s="11">
        <v>200</v>
      </c>
      <c r="N74" s="11">
        <v>0</v>
      </c>
      <c r="O74" s="11">
        <v>0</v>
      </c>
      <c r="P74" s="263">
        <v>230</v>
      </c>
      <c r="Q74" s="263">
        <v>0</v>
      </c>
      <c r="R74" s="263">
        <v>0</v>
      </c>
      <c r="S74" s="11">
        <v>0</v>
      </c>
      <c r="T74" s="9">
        <f t="shared" si="12"/>
        <v>0</v>
      </c>
    </row>
    <row r="75" spans="1:20" ht="15" customHeight="1">
      <c r="A75" s="27"/>
      <c r="B75" s="14" t="s">
        <v>328</v>
      </c>
      <c r="C75" s="21"/>
      <c r="D75" s="21"/>
      <c r="E75" s="21" t="s">
        <v>511</v>
      </c>
      <c r="F75" s="8"/>
      <c r="G75" s="156">
        <v>13881</v>
      </c>
      <c r="H75" s="154"/>
      <c r="I75" s="9"/>
      <c r="K75" s="11">
        <v>0</v>
      </c>
      <c r="L75" s="11">
        <v>0</v>
      </c>
      <c r="M75" s="11">
        <v>4650</v>
      </c>
      <c r="N75" s="11">
        <v>0</v>
      </c>
      <c r="O75" s="11">
        <v>0</v>
      </c>
      <c r="P75" s="263">
        <v>1270</v>
      </c>
      <c r="Q75" s="263">
        <v>0</v>
      </c>
      <c r="R75" s="263">
        <v>0</v>
      </c>
      <c r="S75" s="11">
        <v>0</v>
      </c>
      <c r="T75" s="9">
        <f t="shared" si="12"/>
        <v>0</v>
      </c>
    </row>
    <row r="76" spans="1:20" ht="14.25" customHeight="1">
      <c r="A76" s="27"/>
      <c r="B76" s="14" t="s">
        <v>360</v>
      </c>
      <c r="C76" s="21"/>
      <c r="D76" s="21"/>
      <c r="E76" s="21" t="s">
        <v>515</v>
      </c>
      <c r="F76" s="8"/>
      <c r="G76" s="156">
        <v>200</v>
      </c>
      <c r="H76" s="154"/>
      <c r="I76" s="9"/>
      <c r="K76" s="11">
        <v>0</v>
      </c>
      <c r="L76" s="11">
        <v>0</v>
      </c>
      <c r="M76" s="11">
        <v>886</v>
      </c>
      <c r="N76" s="11">
        <v>0</v>
      </c>
      <c r="O76" s="11">
        <v>0</v>
      </c>
      <c r="P76" s="263">
        <v>1693</v>
      </c>
      <c r="Q76" s="263">
        <v>0</v>
      </c>
      <c r="R76" s="263">
        <v>0</v>
      </c>
      <c r="S76" s="11">
        <v>1500</v>
      </c>
      <c r="T76" s="9">
        <f t="shared" si="12"/>
        <v>5.3434921431072695E-05</v>
      </c>
    </row>
    <row r="77" spans="1:20" ht="18" customHeight="1" hidden="1">
      <c r="A77" s="22" t="s">
        <v>372</v>
      </c>
      <c r="B77" s="10" t="s">
        <v>889</v>
      </c>
      <c r="C77" s="30"/>
      <c r="D77" s="30" t="s">
        <v>888</v>
      </c>
      <c r="E77" s="30"/>
      <c r="F77" s="12">
        <f>F78+F79+F80+F81+F82</f>
        <v>456020</v>
      </c>
      <c r="G77" s="155">
        <f>G78+G79+G80+G81+G82</f>
        <v>206807</v>
      </c>
      <c r="H77" s="148">
        <f t="shared" si="0"/>
        <v>45.350423227051444</v>
      </c>
      <c r="I77" s="13" t="e">
        <f>F77/F400</f>
        <v>#REF!</v>
      </c>
      <c r="J77" s="40"/>
      <c r="K77" s="10">
        <f>K78+K79+K80+K81+K82</f>
        <v>0</v>
      </c>
      <c r="L77" s="10">
        <f>L78+L79+L80+L81+L82</f>
        <v>0</v>
      </c>
      <c r="M77" s="10">
        <f>M78+M79+M80+M81+M82</f>
        <v>0</v>
      </c>
      <c r="N77" s="10"/>
      <c r="O77" s="10"/>
      <c r="P77" s="263"/>
      <c r="Q77" s="263"/>
      <c r="R77" s="263"/>
      <c r="S77" s="11"/>
      <c r="T77" s="9">
        <f t="shared" si="12"/>
        <v>0</v>
      </c>
    </row>
    <row r="78" spans="1:20" ht="15" customHeight="1" hidden="1">
      <c r="A78" s="27"/>
      <c r="B78" s="11" t="s">
        <v>332</v>
      </c>
      <c r="C78" s="21"/>
      <c r="D78" s="21"/>
      <c r="E78" s="21" t="s">
        <v>333</v>
      </c>
      <c r="F78" s="8">
        <v>0</v>
      </c>
      <c r="G78" s="156">
        <v>0</v>
      </c>
      <c r="H78" s="154">
        <f t="shared" si="0"/>
      </c>
      <c r="I78" s="9" t="e">
        <f>F78/F400</f>
        <v>#REF!</v>
      </c>
      <c r="K78" s="11">
        <v>0</v>
      </c>
      <c r="L78" s="11">
        <v>0</v>
      </c>
      <c r="M78" s="11">
        <v>0</v>
      </c>
      <c r="N78" s="11"/>
      <c r="O78" s="11"/>
      <c r="P78" s="263"/>
      <c r="Q78" s="263"/>
      <c r="R78" s="263"/>
      <c r="S78" s="11"/>
      <c r="T78" s="9">
        <f aca="true" t="shared" si="19" ref="T78:T106">S78/$S$400</f>
        <v>0</v>
      </c>
    </row>
    <row r="79" spans="1:20" ht="54" customHeight="1" hidden="1">
      <c r="A79" s="27"/>
      <c r="B79" s="14" t="s">
        <v>370</v>
      </c>
      <c r="C79" s="21"/>
      <c r="D79" s="21"/>
      <c r="E79" s="21" t="s">
        <v>337</v>
      </c>
      <c r="F79" s="8">
        <v>310332</v>
      </c>
      <c r="G79" s="156">
        <v>110706</v>
      </c>
      <c r="H79" s="154">
        <f t="shared" si="0"/>
        <v>35.67340783419048</v>
      </c>
      <c r="I79" s="9" t="e">
        <f>F79/F400</f>
        <v>#REF!</v>
      </c>
      <c r="K79" s="11">
        <v>0</v>
      </c>
      <c r="L79" s="11">
        <v>0</v>
      </c>
      <c r="M79" s="11">
        <v>0</v>
      </c>
      <c r="N79" s="11"/>
      <c r="O79" s="11"/>
      <c r="P79" s="263"/>
      <c r="Q79" s="263"/>
      <c r="R79" s="263"/>
      <c r="S79" s="11"/>
      <c r="T79" s="9">
        <f t="shared" si="19"/>
        <v>0</v>
      </c>
    </row>
    <row r="80" spans="1:20" ht="18" customHeight="1" hidden="1">
      <c r="A80" s="27"/>
      <c r="B80" s="14" t="s">
        <v>338</v>
      </c>
      <c r="C80" s="21"/>
      <c r="D80" s="21"/>
      <c r="E80" s="21" t="s">
        <v>339</v>
      </c>
      <c r="F80" s="8">
        <v>132288</v>
      </c>
      <c r="G80" s="156">
        <v>89905</v>
      </c>
      <c r="H80" s="154">
        <f t="shared" si="0"/>
        <v>67.96156869859699</v>
      </c>
      <c r="I80" s="9" t="e">
        <f>F80/F400</f>
        <v>#REF!</v>
      </c>
      <c r="K80" s="11">
        <v>0</v>
      </c>
      <c r="L80" s="11">
        <v>0</v>
      </c>
      <c r="M80" s="11">
        <v>0</v>
      </c>
      <c r="N80" s="11"/>
      <c r="O80" s="11"/>
      <c r="P80" s="263"/>
      <c r="Q80" s="263"/>
      <c r="R80" s="263"/>
      <c r="S80" s="11"/>
      <c r="T80" s="9">
        <f t="shared" si="19"/>
        <v>0</v>
      </c>
    </row>
    <row r="81" spans="1:20" ht="30" customHeight="1" hidden="1">
      <c r="A81" s="27"/>
      <c r="B81" s="14" t="s">
        <v>344</v>
      </c>
      <c r="C81" s="21"/>
      <c r="D81" s="21"/>
      <c r="E81" s="21" t="s">
        <v>345</v>
      </c>
      <c r="F81" s="8">
        <v>400</v>
      </c>
      <c r="G81" s="156">
        <v>317</v>
      </c>
      <c r="H81" s="154">
        <f t="shared" si="0"/>
        <v>79.25</v>
      </c>
      <c r="I81" s="9" t="e">
        <f>F81/F400</f>
        <v>#REF!</v>
      </c>
      <c r="K81" s="11">
        <v>0</v>
      </c>
      <c r="L81" s="11">
        <v>0</v>
      </c>
      <c r="M81" s="11">
        <v>0</v>
      </c>
      <c r="N81" s="11"/>
      <c r="O81" s="11"/>
      <c r="P81" s="263"/>
      <c r="Q81" s="263"/>
      <c r="R81" s="263"/>
      <c r="S81" s="11"/>
      <c r="T81" s="9">
        <f t="shared" si="19"/>
        <v>0</v>
      </c>
    </row>
    <row r="82" spans="1:20" ht="20.25" customHeight="1" hidden="1">
      <c r="A82" s="27"/>
      <c r="B82" s="14" t="s">
        <v>328</v>
      </c>
      <c r="C82" s="21"/>
      <c r="D82" s="21"/>
      <c r="E82" s="21" t="s">
        <v>329</v>
      </c>
      <c r="F82" s="8">
        <v>13000</v>
      </c>
      <c r="G82" s="156">
        <v>5879</v>
      </c>
      <c r="H82" s="154">
        <f t="shared" si="0"/>
        <v>45.223076923076924</v>
      </c>
      <c r="I82" s="9" t="e">
        <f>F82/F400</f>
        <v>#REF!</v>
      </c>
      <c r="K82" s="11">
        <v>0</v>
      </c>
      <c r="L82" s="11">
        <v>0</v>
      </c>
      <c r="M82" s="11">
        <v>0</v>
      </c>
      <c r="N82" s="11"/>
      <c r="O82" s="11"/>
      <c r="P82" s="263"/>
      <c r="Q82" s="263"/>
      <c r="R82" s="263"/>
      <c r="S82" s="11"/>
      <c r="T82" s="9">
        <f t="shared" si="19"/>
        <v>0</v>
      </c>
    </row>
    <row r="83" spans="1:20" ht="20.25" customHeight="1" hidden="1">
      <c r="A83" s="22" t="s">
        <v>372</v>
      </c>
      <c r="B83" s="7" t="s">
        <v>795</v>
      </c>
      <c r="C83" s="30"/>
      <c r="D83" s="30" t="s">
        <v>938</v>
      </c>
      <c r="E83" s="30"/>
      <c r="F83" s="12"/>
      <c r="G83" s="155">
        <f>G84</f>
        <v>92</v>
      </c>
      <c r="H83" s="148"/>
      <c r="I83" s="13"/>
      <c r="J83" s="40"/>
      <c r="K83" s="10">
        <f aca="true" t="shared" si="20" ref="K83:R83">K84</f>
        <v>0</v>
      </c>
      <c r="L83" s="10">
        <f t="shared" si="20"/>
        <v>0</v>
      </c>
      <c r="M83" s="10">
        <f t="shared" si="20"/>
        <v>387</v>
      </c>
      <c r="N83" s="10">
        <f t="shared" si="20"/>
        <v>0</v>
      </c>
      <c r="O83" s="10">
        <f t="shared" si="20"/>
        <v>0</v>
      </c>
      <c r="P83" s="342">
        <f t="shared" si="20"/>
        <v>0</v>
      </c>
      <c r="Q83" s="342">
        <f t="shared" si="20"/>
        <v>0</v>
      </c>
      <c r="R83" s="342">
        <f t="shared" si="20"/>
        <v>0</v>
      </c>
      <c r="S83" s="11"/>
      <c r="T83" s="9">
        <f t="shared" si="19"/>
        <v>0</v>
      </c>
    </row>
    <row r="84" spans="1:20" ht="24" customHeight="1" hidden="1">
      <c r="A84" s="27"/>
      <c r="B84" s="14" t="s">
        <v>360</v>
      </c>
      <c r="C84" s="21"/>
      <c r="D84" s="21"/>
      <c r="E84" s="21" t="s">
        <v>341</v>
      </c>
      <c r="F84" s="8"/>
      <c r="G84" s="156">
        <v>92</v>
      </c>
      <c r="H84" s="154"/>
      <c r="I84" s="9"/>
      <c r="K84" s="11">
        <v>0</v>
      </c>
      <c r="L84" s="11">
        <v>0</v>
      </c>
      <c r="M84" s="11">
        <v>387</v>
      </c>
      <c r="N84" s="11">
        <v>0</v>
      </c>
      <c r="O84" s="11">
        <v>0</v>
      </c>
      <c r="P84" s="263">
        <v>0</v>
      </c>
      <c r="Q84" s="263">
        <v>0</v>
      </c>
      <c r="R84" s="263">
        <v>0</v>
      </c>
      <c r="S84" s="11"/>
      <c r="T84" s="9">
        <f t="shared" si="19"/>
        <v>0</v>
      </c>
    </row>
    <row r="85" spans="1:20" ht="19.5" customHeight="1" hidden="1">
      <c r="A85" s="22" t="s">
        <v>309</v>
      </c>
      <c r="B85" s="157" t="s">
        <v>373</v>
      </c>
      <c r="C85" s="21" t="s">
        <v>939</v>
      </c>
      <c r="D85" s="21"/>
      <c r="E85" s="21"/>
      <c r="F85" s="8" t="e">
        <f>F88</f>
        <v>#REF!</v>
      </c>
      <c r="G85" s="155" t="e">
        <f>G88+G86</f>
        <v>#REF!</v>
      </c>
      <c r="H85" s="148" t="e">
        <f t="shared" si="0"/>
        <v>#REF!</v>
      </c>
      <c r="I85" s="13" t="e">
        <f>F85/F400</f>
        <v>#REF!</v>
      </c>
      <c r="J85" s="40"/>
      <c r="K85" s="10" t="e">
        <f>K88+K86</f>
        <v>#REF!</v>
      </c>
      <c r="L85" s="10" t="e">
        <f>L88+L86</f>
        <v>#REF!</v>
      </c>
      <c r="M85" s="10">
        <f aca="true" t="shared" si="21" ref="M85:R85">M86+M88</f>
        <v>25587</v>
      </c>
      <c r="N85" s="10">
        <f t="shared" si="21"/>
        <v>0</v>
      </c>
      <c r="O85" s="10">
        <f t="shared" si="21"/>
        <v>0</v>
      </c>
      <c r="P85" s="342">
        <f t="shared" si="21"/>
        <v>0</v>
      </c>
      <c r="Q85" s="342">
        <f t="shared" si="21"/>
        <v>44118</v>
      </c>
      <c r="R85" s="342">
        <f t="shared" si="21"/>
        <v>0</v>
      </c>
      <c r="S85" s="11"/>
      <c r="T85" s="9">
        <f t="shared" si="19"/>
        <v>0</v>
      </c>
    </row>
    <row r="86" spans="1:20" ht="19.5" customHeight="1" hidden="1">
      <c r="A86" s="24" t="s">
        <v>320</v>
      </c>
      <c r="B86" s="23" t="s">
        <v>942</v>
      </c>
      <c r="C86" s="21"/>
      <c r="D86" s="30" t="s">
        <v>941</v>
      </c>
      <c r="E86" s="30"/>
      <c r="F86" s="12"/>
      <c r="G86" s="155">
        <f>G87</f>
        <v>239</v>
      </c>
      <c r="H86" s="148"/>
      <c r="I86" s="13"/>
      <c r="J86" s="40"/>
      <c r="K86" s="10">
        <f aca="true" t="shared" si="22" ref="K86:R86">K87</f>
        <v>0</v>
      </c>
      <c r="L86" s="10">
        <f t="shared" si="22"/>
        <v>0</v>
      </c>
      <c r="M86" s="10">
        <f t="shared" si="22"/>
        <v>25283</v>
      </c>
      <c r="N86" s="10">
        <f t="shared" si="22"/>
        <v>0</v>
      </c>
      <c r="O86" s="10">
        <f t="shared" si="22"/>
        <v>0</v>
      </c>
      <c r="P86" s="342">
        <f t="shared" si="22"/>
        <v>0</v>
      </c>
      <c r="Q86" s="342">
        <f t="shared" si="22"/>
        <v>0</v>
      </c>
      <c r="R86" s="342">
        <f t="shared" si="22"/>
        <v>0</v>
      </c>
      <c r="S86" s="11"/>
      <c r="T86" s="9">
        <f t="shared" si="19"/>
        <v>0</v>
      </c>
    </row>
    <row r="87" spans="1:20" ht="27.75" customHeight="1" hidden="1">
      <c r="A87" s="22"/>
      <c r="B87" s="23" t="s">
        <v>360</v>
      </c>
      <c r="C87" s="21"/>
      <c r="D87" s="21"/>
      <c r="E87" s="21" t="s">
        <v>341</v>
      </c>
      <c r="F87" s="8"/>
      <c r="G87" s="164">
        <v>239</v>
      </c>
      <c r="H87" s="165"/>
      <c r="I87" s="166"/>
      <c r="J87" s="146"/>
      <c r="K87" s="23">
        <v>0</v>
      </c>
      <c r="L87" s="23">
        <v>0</v>
      </c>
      <c r="M87" s="11">
        <v>25283</v>
      </c>
      <c r="N87" s="11">
        <v>0</v>
      </c>
      <c r="O87" s="11">
        <v>0</v>
      </c>
      <c r="P87" s="263">
        <v>0</v>
      </c>
      <c r="Q87" s="263">
        <v>0</v>
      </c>
      <c r="R87" s="263">
        <v>0</v>
      </c>
      <c r="S87" s="11"/>
      <c r="T87" s="9">
        <f t="shared" si="19"/>
        <v>0</v>
      </c>
    </row>
    <row r="88" spans="1:20" ht="14.25" customHeight="1" hidden="1">
      <c r="A88" s="27" t="s">
        <v>372</v>
      </c>
      <c r="B88" s="7" t="s">
        <v>808</v>
      </c>
      <c r="C88" s="30"/>
      <c r="D88" s="30" t="s">
        <v>807</v>
      </c>
      <c r="E88" s="30"/>
      <c r="F88" s="12" t="e">
        <f>#REF!+F89</f>
        <v>#REF!</v>
      </c>
      <c r="G88" s="155" t="e">
        <f>#REF!+G89</f>
        <v>#REF!</v>
      </c>
      <c r="H88" s="148" t="e">
        <f t="shared" si="0"/>
        <v>#REF!</v>
      </c>
      <c r="I88" s="13" t="e">
        <f>F88/F400</f>
        <v>#REF!</v>
      </c>
      <c r="J88" s="40"/>
      <c r="K88" s="10" t="e">
        <f>#REF!+K89</f>
        <v>#REF!</v>
      </c>
      <c r="L88" s="10" t="e">
        <f>#REF!+L89</f>
        <v>#REF!</v>
      </c>
      <c r="M88" s="10">
        <f aca="true" t="shared" si="23" ref="M88:S88">M89</f>
        <v>304</v>
      </c>
      <c r="N88" s="10">
        <f t="shared" si="23"/>
        <v>0</v>
      </c>
      <c r="O88" s="10">
        <f t="shared" si="23"/>
        <v>0</v>
      </c>
      <c r="P88" s="342">
        <f t="shared" si="23"/>
        <v>0</v>
      </c>
      <c r="Q88" s="342">
        <f t="shared" si="23"/>
        <v>44118</v>
      </c>
      <c r="R88" s="342">
        <f t="shared" si="23"/>
        <v>0</v>
      </c>
      <c r="S88" s="342">
        <f t="shared" si="23"/>
        <v>0</v>
      </c>
      <c r="T88" s="13">
        <f t="shared" si="19"/>
        <v>0</v>
      </c>
    </row>
    <row r="89" spans="1:20" ht="15.75" customHeight="1" hidden="1">
      <c r="A89" s="27"/>
      <c r="B89" s="14" t="s">
        <v>371</v>
      </c>
      <c r="C89" s="21"/>
      <c r="D89" s="21"/>
      <c r="E89" s="21" t="s">
        <v>515</v>
      </c>
      <c r="F89" s="8">
        <v>700</v>
      </c>
      <c r="G89" s="156">
        <v>700</v>
      </c>
      <c r="H89" s="154">
        <f t="shared" si="0"/>
        <v>100</v>
      </c>
      <c r="I89" s="9" t="e">
        <f>F89/F400</f>
        <v>#REF!</v>
      </c>
      <c r="K89" s="11"/>
      <c r="L89" s="11"/>
      <c r="M89" s="11">
        <v>304</v>
      </c>
      <c r="N89" s="11">
        <v>0</v>
      </c>
      <c r="O89" s="11">
        <v>0</v>
      </c>
      <c r="P89" s="263">
        <v>0</v>
      </c>
      <c r="Q89" s="263">
        <v>44118</v>
      </c>
      <c r="R89" s="263">
        <v>0</v>
      </c>
      <c r="S89" s="11">
        <v>0</v>
      </c>
      <c r="T89" s="9">
        <f t="shared" si="19"/>
        <v>0</v>
      </c>
    </row>
    <row r="90" spans="1:20" ht="15" customHeight="1">
      <c r="A90" s="22">
        <v>8</v>
      </c>
      <c r="B90" s="7" t="s">
        <v>373</v>
      </c>
      <c r="C90" s="30" t="s">
        <v>939</v>
      </c>
      <c r="D90" s="30"/>
      <c r="E90" s="30"/>
      <c r="F90" s="12"/>
      <c r="G90" s="155"/>
      <c r="H90" s="148"/>
      <c r="I90" s="13"/>
      <c r="J90" s="40"/>
      <c r="K90" s="10"/>
      <c r="L90" s="10"/>
      <c r="M90" s="10"/>
      <c r="N90" s="10"/>
      <c r="O90" s="10"/>
      <c r="P90" s="343">
        <f aca="true" t="shared" si="24" ref="P90:S91">P91</f>
        <v>8070</v>
      </c>
      <c r="Q90" s="343">
        <f t="shared" si="24"/>
        <v>0</v>
      </c>
      <c r="R90" s="343">
        <f t="shared" si="24"/>
        <v>0</v>
      </c>
      <c r="S90" s="343">
        <f t="shared" si="24"/>
        <v>24000</v>
      </c>
      <c r="T90" s="13">
        <f t="shared" si="19"/>
        <v>0.0008549587428971631</v>
      </c>
    </row>
    <row r="91" spans="1:20" ht="16.5" customHeight="1">
      <c r="A91" s="27" t="s">
        <v>320</v>
      </c>
      <c r="B91" s="14" t="s">
        <v>942</v>
      </c>
      <c r="C91" s="21"/>
      <c r="D91" s="30" t="s">
        <v>941</v>
      </c>
      <c r="E91" s="30"/>
      <c r="F91" s="12"/>
      <c r="G91" s="155"/>
      <c r="H91" s="148"/>
      <c r="I91" s="13"/>
      <c r="J91" s="40"/>
      <c r="K91" s="10"/>
      <c r="L91" s="10"/>
      <c r="M91" s="10"/>
      <c r="N91" s="10"/>
      <c r="O91" s="10"/>
      <c r="P91" s="343">
        <f t="shared" si="24"/>
        <v>8070</v>
      </c>
      <c r="Q91" s="343">
        <f t="shared" si="24"/>
        <v>0</v>
      </c>
      <c r="R91" s="343">
        <f t="shared" si="24"/>
        <v>0</v>
      </c>
      <c r="S91" s="343">
        <f t="shared" si="24"/>
        <v>24000</v>
      </c>
      <c r="T91" s="13">
        <f t="shared" si="19"/>
        <v>0.0008549587428971631</v>
      </c>
    </row>
    <row r="92" spans="1:20" ht="16.5" customHeight="1">
      <c r="A92" s="27"/>
      <c r="B92" s="14" t="s">
        <v>94</v>
      </c>
      <c r="C92" s="21"/>
      <c r="D92" s="21"/>
      <c r="E92" s="21" t="s">
        <v>513</v>
      </c>
      <c r="F92" s="8"/>
      <c r="G92" s="156"/>
      <c r="H92" s="154"/>
      <c r="I92" s="9"/>
      <c r="K92" s="11"/>
      <c r="L92" s="11"/>
      <c r="M92" s="11"/>
      <c r="N92" s="11"/>
      <c r="O92" s="11"/>
      <c r="P92" s="263">
        <v>8070</v>
      </c>
      <c r="Q92" s="263">
        <v>0</v>
      </c>
      <c r="R92" s="263">
        <v>0</v>
      </c>
      <c r="S92" s="11">
        <v>24000</v>
      </c>
      <c r="T92" s="9">
        <f t="shared" si="19"/>
        <v>0.0008549587428971631</v>
      </c>
    </row>
    <row r="93" spans="1:20" ht="16.5" customHeight="1">
      <c r="A93" s="22">
        <v>9</v>
      </c>
      <c r="B93" s="157" t="s">
        <v>833</v>
      </c>
      <c r="C93" s="30" t="s">
        <v>832</v>
      </c>
      <c r="D93" s="21"/>
      <c r="E93" s="21"/>
      <c r="F93" s="8" t="e">
        <f>F94+F98+F104+F119+F121</f>
        <v>#REF!</v>
      </c>
      <c r="G93" s="155" t="e">
        <f>G94+G98+#REF!+G104+G119+G121</f>
        <v>#REF!</v>
      </c>
      <c r="H93" s="148" t="e">
        <f t="shared" si="0"/>
        <v>#REF!</v>
      </c>
      <c r="I93" s="13" t="e">
        <f>F93/F400</f>
        <v>#REF!</v>
      </c>
      <c r="J93" s="40"/>
      <c r="K93" s="10" t="e">
        <f>K94+K98+#REF!+K104+K119+K121</f>
        <v>#REF!</v>
      </c>
      <c r="L93" s="10" t="e">
        <f>L94+L98+#REF!+L104+L119+L121</f>
        <v>#REF!</v>
      </c>
      <c r="M93" s="10" t="e">
        <f>M94+M98+#REF!+M104+M119+M121</f>
        <v>#REF!</v>
      </c>
      <c r="N93" s="10" t="e">
        <f>N94+N98+#REF!+N104+N119+N121</f>
        <v>#REF!</v>
      </c>
      <c r="O93" s="10" t="e">
        <f>O94+O98+#REF!+O104+O119+O121</f>
        <v>#REF!</v>
      </c>
      <c r="P93" s="342">
        <f>P94+P98+P104+P119+P121</f>
        <v>202892</v>
      </c>
      <c r="Q93" s="342">
        <f>Q94+Q98+Q104+Q119+Q121</f>
        <v>0</v>
      </c>
      <c r="R93" s="342">
        <f>R94+R98+R104+R119+R121</f>
        <v>0</v>
      </c>
      <c r="S93" s="342">
        <f>S94+S98+S102+S125</f>
        <v>209880</v>
      </c>
      <c r="T93" s="13">
        <f t="shared" si="19"/>
        <v>0.007476614206635691</v>
      </c>
    </row>
    <row r="94" spans="1:20" ht="15.75" customHeight="1">
      <c r="A94" s="22" t="s">
        <v>320</v>
      </c>
      <c r="B94" s="7" t="s">
        <v>193</v>
      </c>
      <c r="C94" s="30"/>
      <c r="D94" s="30" t="s">
        <v>834</v>
      </c>
      <c r="E94" s="30"/>
      <c r="F94" s="12" t="e">
        <f>#REF!+F96+#REF!+#REF!+F97</f>
        <v>#REF!</v>
      </c>
      <c r="G94" s="155" t="e">
        <f>#REF!+G96+#REF!+#REF!+G97+#REF!</f>
        <v>#REF!</v>
      </c>
      <c r="H94" s="148" t="e">
        <f t="shared" si="0"/>
        <v>#REF!</v>
      </c>
      <c r="I94" s="13" t="e">
        <f>F94/F400</f>
        <v>#REF!</v>
      </c>
      <c r="J94" s="40"/>
      <c r="K94" s="10" t="e">
        <f>#REF!+K96+#REF!+#REF!+K97+#REF!</f>
        <v>#REF!</v>
      </c>
      <c r="L94" s="10" t="e">
        <f>#REF!+L96+#REF!+#REF!+L97++#REF!</f>
        <v>#REF!</v>
      </c>
      <c r="M94" s="10" t="e">
        <f>#REF!+M96+#REF!+#REF!+M97+#REF!</f>
        <v>#REF!</v>
      </c>
      <c r="N94" s="10" t="e">
        <f>#REF!+N96+#REF!+#REF!+N97+#REF!</f>
        <v>#REF!</v>
      </c>
      <c r="O94" s="10" t="e">
        <f>#REF!+O96+#REF!+#REF!+O97+#REF!</f>
        <v>#REF!</v>
      </c>
      <c r="P94" s="342">
        <f>P96+P97</f>
        <v>6850</v>
      </c>
      <c r="Q94" s="342">
        <f>Q96+Q97</f>
        <v>0</v>
      </c>
      <c r="R94" s="342">
        <f>R96+R97</f>
        <v>0</v>
      </c>
      <c r="S94" s="342">
        <f>S95+S96+S97</f>
        <v>1500</v>
      </c>
      <c r="T94" s="13">
        <f t="shared" si="19"/>
        <v>5.3434921431072695E-05</v>
      </c>
    </row>
    <row r="95" spans="1:20" ht="21.75" customHeight="1">
      <c r="A95" s="22"/>
      <c r="B95" s="14" t="s">
        <v>95</v>
      </c>
      <c r="C95" s="30"/>
      <c r="D95" s="30"/>
      <c r="E95" s="34" t="s">
        <v>96</v>
      </c>
      <c r="F95" s="136"/>
      <c r="G95" s="164"/>
      <c r="H95" s="165"/>
      <c r="I95" s="166"/>
      <c r="J95" s="146"/>
      <c r="K95" s="23"/>
      <c r="L95" s="23"/>
      <c r="M95" s="23"/>
      <c r="N95" s="23"/>
      <c r="O95" s="23"/>
      <c r="P95" s="350"/>
      <c r="Q95" s="350"/>
      <c r="R95" s="350"/>
      <c r="S95" s="350">
        <v>1500</v>
      </c>
      <c r="T95" s="9">
        <f t="shared" si="19"/>
        <v>5.3434921431072695E-05</v>
      </c>
    </row>
    <row r="96" spans="1:20" ht="15" customHeight="1">
      <c r="A96" s="22"/>
      <c r="B96" s="14" t="s">
        <v>174</v>
      </c>
      <c r="C96" s="21"/>
      <c r="D96" s="21"/>
      <c r="E96" s="21" t="s">
        <v>513</v>
      </c>
      <c r="F96" s="8">
        <v>2740</v>
      </c>
      <c r="G96" s="164">
        <v>4713</v>
      </c>
      <c r="H96" s="154">
        <f t="shared" si="0"/>
        <v>172.007299270073</v>
      </c>
      <c r="I96" s="9" t="e">
        <f>F96/F400</f>
        <v>#REF!</v>
      </c>
      <c r="K96" s="11">
        <v>0</v>
      </c>
      <c r="L96" s="11">
        <v>0</v>
      </c>
      <c r="M96" s="11">
        <v>6500</v>
      </c>
      <c r="N96" s="11">
        <v>0</v>
      </c>
      <c r="O96" s="11">
        <v>0</v>
      </c>
      <c r="P96" s="263">
        <v>6500</v>
      </c>
      <c r="Q96" s="263">
        <v>0</v>
      </c>
      <c r="R96" s="263">
        <v>0</v>
      </c>
      <c r="S96" s="11">
        <v>0</v>
      </c>
      <c r="T96" s="9">
        <f t="shared" si="19"/>
        <v>0</v>
      </c>
    </row>
    <row r="97" spans="1:20" ht="14.25" customHeight="1">
      <c r="A97" s="22"/>
      <c r="B97" s="23" t="s">
        <v>328</v>
      </c>
      <c r="C97" s="21"/>
      <c r="D97" s="21"/>
      <c r="E97" s="21" t="s">
        <v>511</v>
      </c>
      <c r="F97" s="8">
        <v>4000</v>
      </c>
      <c r="G97" s="164">
        <v>6000</v>
      </c>
      <c r="H97" s="154">
        <f t="shared" si="0"/>
        <v>150</v>
      </c>
      <c r="I97" s="9" t="e">
        <f>F97/F400</f>
        <v>#REF!</v>
      </c>
      <c r="K97" s="11">
        <v>0</v>
      </c>
      <c r="L97" s="11">
        <v>0</v>
      </c>
      <c r="M97" s="11">
        <v>2500</v>
      </c>
      <c r="N97" s="11">
        <v>0</v>
      </c>
      <c r="O97" s="11">
        <v>0</v>
      </c>
      <c r="P97" s="263">
        <v>350</v>
      </c>
      <c r="Q97" s="263">
        <v>0</v>
      </c>
      <c r="R97" s="263">
        <v>0</v>
      </c>
      <c r="S97" s="11">
        <v>0</v>
      </c>
      <c r="T97" s="9">
        <f t="shared" si="19"/>
        <v>0</v>
      </c>
    </row>
    <row r="98" spans="1:20" ht="13.5" customHeight="1">
      <c r="A98" s="22" t="s">
        <v>330</v>
      </c>
      <c r="B98" s="10" t="s">
        <v>39</v>
      </c>
      <c r="C98" s="30"/>
      <c r="D98" s="30" t="s">
        <v>835</v>
      </c>
      <c r="E98" s="30"/>
      <c r="F98" s="12">
        <f>F99+F100</f>
        <v>159900</v>
      </c>
      <c r="G98" s="155">
        <f>G99+G100</f>
        <v>170000</v>
      </c>
      <c r="H98" s="148">
        <f t="shared" si="0"/>
        <v>106.31644777986241</v>
      </c>
      <c r="I98" s="13" t="e">
        <f>F98/F400</f>
        <v>#REF!</v>
      </c>
      <c r="J98" s="40"/>
      <c r="K98" s="10">
        <f>K99+K100</f>
        <v>6500</v>
      </c>
      <c r="L98" s="10">
        <f>L99+L100</f>
        <v>500</v>
      </c>
      <c r="M98" s="10">
        <f>M99+M100</f>
        <v>180500</v>
      </c>
      <c r="N98" s="10">
        <f>N99+N100</f>
        <v>0</v>
      </c>
      <c r="O98" s="10">
        <f>O99+O100</f>
        <v>0</v>
      </c>
      <c r="P98" s="342">
        <f>P99+P100+P101</f>
        <v>182200</v>
      </c>
      <c r="Q98" s="342">
        <f>Q99+Q100+Q101</f>
        <v>0</v>
      </c>
      <c r="R98" s="342">
        <f>R99+R100+R101</f>
        <v>0</v>
      </c>
      <c r="S98" s="342">
        <f>S99+S100+S101</f>
        <v>206688</v>
      </c>
      <c r="T98" s="13">
        <f t="shared" si="19"/>
        <v>0.007362904693830368</v>
      </c>
    </row>
    <row r="99" spans="1:20" ht="14.25" customHeight="1">
      <c r="A99" s="27"/>
      <c r="B99" s="11" t="s">
        <v>338</v>
      </c>
      <c r="C99" s="21"/>
      <c r="D99" s="21"/>
      <c r="E99" s="21" t="s">
        <v>514</v>
      </c>
      <c r="F99" s="8">
        <v>159000</v>
      </c>
      <c r="G99" s="156">
        <v>169000</v>
      </c>
      <c r="H99" s="154">
        <f t="shared" si="0"/>
        <v>106.28930817610063</v>
      </c>
      <c r="I99" s="9" t="e">
        <f>F99/F400</f>
        <v>#REF!</v>
      </c>
      <c r="K99" s="11">
        <v>6500</v>
      </c>
      <c r="L99" s="11">
        <v>0</v>
      </c>
      <c r="M99" s="11">
        <v>180000</v>
      </c>
      <c r="N99" s="11">
        <v>0</v>
      </c>
      <c r="O99" s="11">
        <v>0</v>
      </c>
      <c r="P99" s="263">
        <v>182000</v>
      </c>
      <c r="Q99" s="263">
        <v>0</v>
      </c>
      <c r="R99" s="263">
        <v>0</v>
      </c>
      <c r="S99" s="11">
        <v>206688</v>
      </c>
      <c r="T99" s="9">
        <f t="shared" si="19"/>
        <v>0.007362904693830368</v>
      </c>
    </row>
    <row r="100" spans="1:20" ht="12.75" customHeight="1">
      <c r="A100" s="27"/>
      <c r="B100" s="14" t="s">
        <v>328</v>
      </c>
      <c r="C100" s="21"/>
      <c r="D100" s="21"/>
      <c r="E100" s="21" t="s">
        <v>511</v>
      </c>
      <c r="F100" s="8">
        <v>900</v>
      </c>
      <c r="G100" s="156">
        <v>1000</v>
      </c>
      <c r="H100" s="154">
        <f t="shared" si="0"/>
        <v>111.11111111111111</v>
      </c>
      <c r="I100" s="154" t="e">
        <f>F100/F400</f>
        <v>#REF!</v>
      </c>
      <c r="K100" s="11">
        <v>0</v>
      </c>
      <c r="L100" s="11">
        <v>500</v>
      </c>
      <c r="M100" s="11">
        <v>500</v>
      </c>
      <c r="N100" s="11">
        <v>0</v>
      </c>
      <c r="O100" s="11">
        <v>0</v>
      </c>
      <c r="P100" s="263">
        <v>50</v>
      </c>
      <c r="Q100" s="263">
        <v>0</v>
      </c>
      <c r="R100" s="263">
        <v>0</v>
      </c>
      <c r="S100" s="11">
        <v>0</v>
      </c>
      <c r="T100" s="9">
        <f t="shared" si="19"/>
        <v>0</v>
      </c>
    </row>
    <row r="101" spans="1:20" ht="12.75" customHeight="1">
      <c r="A101" s="27"/>
      <c r="B101" s="14" t="s">
        <v>360</v>
      </c>
      <c r="C101" s="21"/>
      <c r="D101" s="21"/>
      <c r="E101" s="21" t="s">
        <v>515</v>
      </c>
      <c r="F101" s="8"/>
      <c r="G101" s="156"/>
      <c r="H101" s="154"/>
      <c r="I101" s="154"/>
      <c r="K101" s="11"/>
      <c r="L101" s="11"/>
      <c r="M101" s="11"/>
      <c r="N101" s="11"/>
      <c r="O101" s="11"/>
      <c r="P101" s="263">
        <v>150</v>
      </c>
      <c r="Q101" s="263">
        <v>0</v>
      </c>
      <c r="R101" s="263">
        <v>0</v>
      </c>
      <c r="S101" s="11">
        <v>0</v>
      </c>
      <c r="T101" s="9">
        <f t="shared" si="19"/>
        <v>0</v>
      </c>
    </row>
    <row r="102" spans="1:20" ht="15" customHeight="1">
      <c r="A102" s="22" t="s">
        <v>372</v>
      </c>
      <c r="B102" s="7" t="s">
        <v>194</v>
      </c>
      <c r="C102" s="30"/>
      <c r="D102" s="30" t="s">
        <v>841</v>
      </c>
      <c r="E102" s="30"/>
      <c r="F102" s="12"/>
      <c r="G102" s="155"/>
      <c r="H102" s="148"/>
      <c r="I102" s="148"/>
      <c r="J102" s="40"/>
      <c r="K102" s="10"/>
      <c r="L102" s="10"/>
      <c r="M102" s="10"/>
      <c r="N102" s="10"/>
      <c r="O102" s="10"/>
      <c r="P102" s="343"/>
      <c r="Q102" s="343"/>
      <c r="R102" s="343"/>
      <c r="S102" s="343">
        <f>S103</f>
        <v>700</v>
      </c>
      <c r="T102" s="13">
        <f t="shared" si="19"/>
        <v>2.493629666783392E-05</v>
      </c>
    </row>
    <row r="103" spans="1:20" ht="22.5" customHeight="1">
      <c r="A103" s="27"/>
      <c r="B103" s="14" t="s">
        <v>95</v>
      </c>
      <c r="C103" s="21"/>
      <c r="D103" s="21"/>
      <c r="E103" s="21" t="s">
        <v>96</v>
      </c>
      <c r="F103" s="8"/>
      <c r="G103" s="156"/>
      <c r="H103" s="154"/>
      <c r="I103" s="154"/>
      <c r="J103" s="127"/>
      <c r="K103" s="11"/>
      <c r="L103" s="11"/>
      <c r="M103" s="11"/>
      <c r="N103" s="11"/>
      <c r="O103" s="11"/>
      <c r="P103" s="263"/>
      <c r="Q103" s="263"/>
      <c r="R103" s="263"/>
      <c r="S103" s="263">
        <v>700</v>
      </c>
      <c r="T103" s="9">
        <f t="shared" si="19"/>
        <v>2.493629666783392E-05</v>
      </c>
    </row>
    <row r="104" spans="1:20" ht="24" customHeight="1" hidden="1">
      <c r="A104" s="10" t="s">
        <v>375</v>
      </c>
      <c r="B104" s="94" t="s">
        <v>376</v>
      </c>
      <c r="C104" s="30"/>
      <c r="D104" s="30" t="s">
        <v>836</v>
      </c>
      <c r="E104" s="30"/>
      <c r="F104" s="10" t="e">
        <f>#REF!+F105+#REF!</f>
        <v>#REF!</v>
      </c>
      <c r="G104" s="10" t="e">
        <f>#REF!+G105+#REF!</f>
        <v>#REF!</v>
      </c>
      <c r="H104" s="148" t="e">
        <f t="shared" si="0"/>
        <v>#REF!</v>
      </c>
      <c r="I104" s="148" t="e">
        <f>F104/F400</f>
        <v>#REF!</v>
      </c>
      <c r="J104" s="10"/>
      <c r="K104" s="10" t="e">
        <f>#REF!+K105+#REF!</f>
        <v>#REF!</v>
      </c>
      <c r="L104" s="10" t="e">
        <f>#REF!+L105+#REF!</f>
        <v>#REF!</v>
      </c>
      <c r="M104" s="10" t="e">
        <f>#REF!+M105+#REF!</f>
        <v>#REF!</v>
      </c>
      <c r="N104" s="10" t="e">
        <f>#REF!+N105+#REF!</f>
        <v>#REF!</v>
      </c>
      <c r="O104" s="10" t="e">
        <f>#REF!+O105+#REF!</f>
        <v>#REF!</v>
      </c>
      <c r="P104" s="196">
        <f>P105</f>
        <v>500</v>
      </c>
      <c r="Q104" s="196">
        <f>Q105</f>
        <v>0</v>
      </c>
      <c r="R104" s="196">
        <f>R105</f>
        <v>0</v>
      </c>
      <c r="S104" s="196">
        <f>S105</f>
        <v>0</v>
      </c>
      <c r="T104" s="13">
        <f t="shared" si="19"/>
        <v>0</v>
      </c>
    </row>
    <row r="105" spans="1:20" ht="0.75" customHeight="1" hidden="1">
      <c r="A105" s="11"/>
      <c r="B105" s="31" t="s">
        <v>328</v>
      </c>
      <c r="C105" s="21"/>
      <c r="D105" s="21"/>
      <c r="E105" s="21" t="s">
        <v>511</v>
      </c>
      <c r="F105" s="11">
        <v>6500</v>
      </c>
      <c r="G105" s="11">
        <v>4200</v>
      </c>
      <c r="H105" s="154">
        <f>IF(F105&gt;0,G105/F105*100,"")</f>
        <v>64.61538461538461</v>
      </c>
      <c r="I105" s="154" t="e">
        <f>F105/F400</f>
        <v>#REF!</v>
      </c>
      <c r="J105" s="11"/>
      <c r="K105" s="11">
        <v>0</v>
      </c>
      <c r="L105" s="11">
        <v>0</v>
      </c>
      <c r="M105" s="11">
        <v>650</v>
      </c>
      <c r="N105" s="11">
        <v>0</v>
      </c>
      <c r="O105" s="11">
        <v>0</v>
      </c>
      <c r="P105" s="11">
        <v>500</v>
      </c>
      <c r="Q105" s="11">
        <v>0</v>
      </c>
      <c r="R105" s="11">
        <v>0</v>
      </c>
      <c r="S105" s="11">
        <v>0</v>
      </c>
      <c r="T105" s="9">
        <f t="shared" si="19"/>
        <v>0</v>
      </c>
    </row>
    <row r="106" spans="1:20" ht="18.75" customHeight="1" hidden="1" thickBot="1">
      <c r="A106" s="10" t="s">
        <v>637</v>
      </c>
      <c r="B106" s="20" t="s">
        <v>321</v>
      </c>
      <c r="C106" s="30"/>
      <c r="D106" s="30" t="s">
        <v>31</v>
      </c>
      <c r="E106" s="30"/>
      <c r="F106" s="10"/>
      <c r="G106" s="10"/>
      <c r="H106" s="148"/>
      <c r="I106" s="148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f>S107+S111+S115+S117+S119+S121</f>
        <v>0</v>
      </c>
      <c r="T106" s="13">
        <f t="shared" si="19"/>
        <v>0</v>
      </c>
    </row>
    <row r="107" spans="1:20" ht="30.75" customHeight="1" hidden="1">
      <c r="A107" s="22" t="s">
        <v>320</v>
      </c>
      <c r="B107" s="7" t="s">
        <v>193</v>
      </c>
      <c r="C107" s="30"/>
      <c r="D107" s="30" t="s">
        <v>322</v>
      </c>
      <c r="E107" s="30"/>
      <c r="F107" s="12" t="e">
        <f>#REF!+F109+#REF!+#REF!+F110</f>
        <v>#REF!</v>
      </c>
      <c r="G107" s="155" t="e">
        <f>#REF!+G109+#REF!+#REF!+G110+#REF!</f>
        <v>#REF!</v>
      </c>
      <c r="H107" s="148" t="e">
        <f>IF(F107&gt;0,G107/F107*100,"")</f>
        <v>#REF!</v>
      </c>
      <c r="I107" s="13" t="e">
        <f>F107/F416</f>
        <v>#REF!</v>
      </c>
      <c r="J107" s="10"/>
      <c r="K107" s="10" t="e">
        <f>#REF!+K109+#REF!+#REF!+K110+#REF!</f>
        <v>#REF!</v>
      </c>
      <c r="L107" s="10" t="e">
        <f>#REF!+L109+#REF!+#REF!+L110++#REF!</f>
        <v>#REF!</v>
      </c>
      <c r="M107" s="10" t="e">
        <f>#REF!+M109+#REF!+#REF!+M110+#REF!</f>
        <v>#REF!</v>
      </c>
      <c r="N107" s="10" t="e">
        <f>#REF!+N109+#REF!+#REF!+N110+#REF!</f>
        <v>#REF!</v>
      </c>
      <c r="O107" s="10" t="e">
        <f>#REF!+O109+#REF!+#REF!+O110+#REF!</f>
        <v>#REF!</v>
      </c>
      <c r="P107" s="196">
        <f>P109+P110</f>
        <v>6850</v>
      </c>
      <c r="Q107" s="196">
        <f>Q109+Q110</f>
        <v>0</v>
      </c>
      <c r="R107" s="196">
        <f>R109+R110</f>
        <v>0</v>
      </c>
      <c r="S107" s="196">
        <f>S109+S110+S108</f>
        <v>0</v>
      </c>
      <c r="T107" s="13">
        <f aca="true" t="shared" si="25" ref="T107:T118">S107/$S$400</f>
        <v>0</v>
      </c>
    </row>
    <row r="108" spans="1:20" ht="18.75" customHeight="1" hidden="1">
      <c r="A108" s="22"/>
      <c r="B108" s="11" t="s">
        <v>332</v>
      </c>
      <c r="C108" s="30"/>
      <c r="D108" s="30"/>
      <c r="E108" s="34" t="s">
        <v>333</v>
      </c>
      <c r="F108" s="136"/>
      <c r="G108" s="164"/>
      <c r="H108" s="165"/>
      <c r="I108" s="166"/>
      <c r="J108" s="23"/>
      <c r="K108" s="23"/>
      <c r="L108" s="23"/>
      <c r="M108" s="23"/>
      <c r="N108" s="23"/>
      <c r="O108" s="23"/>
      <c r="P108" s="413"/>
      <c r="Q108" s="413"/>
      <c r="R108" s="413"/>
      <c r="S108" s="413">
        <v>0</v>
      </c>
      <c r="T108" s="9">
        <f t="shared" si="25"/>
        <v>0</v>
      </c>
    </row>
    <row r="109" spans="1:20" ht="38.25" customHeight="1" hidden="1">
      <c r="A109" s="22"/>
      <c r="B109" s="14" t="s">
        <v>370</v>
      </c>
      <c r="C109" s="21"/>
      <c r="D109" s="21"/>
      <c r="E109" s="21" t="s">
        <v>513</v>
      </c>
      <c r="F109" s="8">
        <v>2740</v>
      </c>
      <c r="G109" s="164">
        <v>4713</v>
      </c>
      <c r="H109" s="154">
        <f>IF(F109&gt;0,G109/F109*100,"")</f>
        <v>172.007299270073</v>
      </c>
      <c r="I109" s="9" t="e">
        <f>F109/F416</f>
        <v>#DIV/0!</v>
      </c>
      <c r="J109" s="11"/>
      <c r="K109" s="11">
        <v>0</v>
      </c>
      <c r="L109" s="11">
        <v>0</v>
      </c>
      <c r="M109" s="11">
        <v>6500</v>
      </c>
      <c r="N109" s="11">
        <v>0</v>
      </c>
      <c r="O109" s="11">
        <v>0</v>
      </c>
      <c r="P109" s="11">
        <v>6500</v>
      </c>
      <c r="Q109" s="11">
        <v>0</v>
      </c>
      <c r="R109" s="11">
        <v>0</v>
      </c>
      <c r="S109" s="11">
        <v>0</v>
      </c>
      <c r="T109" s="9">
        <f t="shared" si="25"/>
        <v>0</v>
      </c>
    </row>
    <row r="110" spans="1:20" ht="18.75" customHeight="1" hidden="1">
      <c r="A110" s="22"/>
      <c r="B110" s="23" t="s">
        <v>328</v>
      </c>
      <c r="C110" s="21"/>
      <c r="D110" s="21"/>
      <c r="E110" s="21" t="s">
        <v>511</v>
      </c>
      <c r="F110" s="8">
        <v>4000</v>
      </c>
      <c r="G110" s="164">
        <v>6000</v>
      </c>
      <c r="H110" s="154">
        <f>IF(F110&gt;0,G110/F110*100,"")</f>
        <v>150</v>
      </c>
      <c r="I110" s="9" t="e">
        <f>F110/F416</f>
        <v>#DIV/0!</v>
      </c>
      <c r="J110" s="11"/>
      <c r="K110" s="11">
        <v>0</v>
      </c>
      <c r="L110" s="11">
        <v>0</v>
      </c>
      <c r="M110" s="11">
        <v>2500</v>
      </c>
      <c r="N110" s="11">
        <v>0</v>
      </c>
      <c r="O110" s="11">
        <v>0</v>
      </c>
      <c r="P110" s="11">
        <v>350</v>
      </c>
      <c r="Q110" s="11">
        <v>0</v>
      </c>
      <c r="R110" s="11">
        <v>0</v>
      </c>
      <c r="S110" s="11">
        <v>0</v>
      </c>
      <c r="T110" s="9">
        <f t="shared" si="25"/>
        <v>0</v>
      </c>
    </row>
    <row r="111" spans="1:20" ht="18.75" customHeight="1" hidden="1">
      <c r="A111" s="22" t="s">
        <v>330</v>
      </c>
      <c r="B111" s="10" t="s">
        <v>39</v>
      </c>
      <c r="C111" s="30"/>
      <c r="D111" s="30" t="s">
        <v>323</v>
      </c>
      <c r="E111" s="30"/>
      <c r="F111" s="12">
        <f>F112+F113</f>
        <v>159900</v>
      </c>
      <c r="G111" s="155">
        <f>G112+G113</f>
        <v>170000</v>
      </c>
      <c r="H111" s="148">
        <f>IF(F111&gt;0,G111/F111*100,"")</f>
        <v>106.31644777986241</v>
      </c>
      <c r="I111" s="13" t="e">
        <f>F111/F416</f>
        <v>#DIV/0!</v>
      </c>
      <c r="J111" s="10"/>
      <c r="K111" s="10">
        <f>K112+K113</f>
        <v>6500</v>
      </c>
      <c r="L111" s="10">
        <f>L112+L113</f>
        <v>500</v>
      </c>
      <c r="M111" s="10">
        <f>M112+M113</f>
        <v>180500</v>
      </c>
      <c r="N111" s="10">
        <f>N112+N113</f>
        <v>0</v>
      </c>
      <c r="O111" s="10">
        <f>O112+O113</f>
        <v>0</v>
      </c>
      <c r="P111" s="196">
        <f>P112+P113+P114</f>
        <v>182200</v>
      </c>
      <c r="Q111" s="196">
        <f>Q112+Q113+Q114</f>
        <v>0</v>
      </c>
      <c r="R111" s="196">
        <f>R112+R113+R114</f>
        <v>0</v>
      </c>
      <c r="S111" s="196">
        <f>S112+S113+S114</f>
        <v>0</v>
      </c>
      <c r="T111" s="13">
        <f t="shared" si="25"/>
        <v>0</v>
      </c>
    </row>
    <row r="112" spans="1:20" ht="18.75" customHeight="1" hidden="1">
      <c r="A112" s="27"/>
      <c r="B112" s="11" t="s">
        <v>338</v>
      </c>
      <c r="C112" s="21"/>
      <c r="D112" s="21"/>
      <c r="E112" s="21" t="s">
        <v>514</v>
      </c>
      <c r="F112" s="8">
        <v>159000</v>
      </c>
      <c r="G112" s="156">
        <v>169000</v>
      </c>
      <c r="H112" s="154">
        <f>IF(F112&gt;0,G112/F112*100,"")</f>
        <v>106.28930817610063</v>
      </c>
      <c r="I112" s="9" t="e">
        <f>F112/F416</f>
        <v>#DIV/0!</v>
      </c>
      <c r="J112" s="11"/>
      <c r="K112" s="11">
        <v>6500</v>
      </c>
      <c r="L112" s="11">
        <v>0</v>
      </c>
      <c r="M112" s="11">
        <v>180000</v>
      </c>
      <c r="N112" s="11">
        <v>0</v>
      </c>
      <c r="O112" s="11">
        <v>0</v>
      </c>
      <c r="P112" s="11">
        <v>182000</v>
      </c>
      <c r="Q112" s="11">
        <v>0</v>
      </c>
      <c r="R112" s="11">
        <v>0</v>
      </c>
      <c r="S112" s="11">
        <v>0</v>
      </c>
      <c r="T112" s="9">
        <f t="shared" si="25"/>
        <v>0</v>
      </c>
    </row>
    <row r="113" spans="1:20" ht="18.75" customHeight="1" hidden="1">
      <c r="A113" s="27"/>
      <c r="B113" s="14" t="s">
        <v>328</v>
      </c>
      <c r="C113" s="21"/>
      <c r="D113" s="21"/>
      <c r="E113" s="21" t="s">
        <v>511</v>
      </c>
      <c r="F113" s="8">
        <v>900</v>
      </c>
      <c r="G113" s="156">
        <v>1000</v>
      </c>
      <c r="H113" s="154">
        <f>IF(F113&gt;0,G113/F113*100,"")</f>
        <v>111.11111111111111</v>
      </c>
      <c r="I113" s="154" t="e">
        <f>F113/F416</f>
        <v>#DIV/0!</v>
      </c>
      <c r="J113" s="11"/>
      <c r="K113" s="11">
        <v>0</v>
      </c>
      <c r="L113" s="11">
        <v>500</v>
      </c>
      <c r="M113" s="11">
        <v>500</v>
      </c>
      <c r="N113" s="11">
        <v>0</v>
      </c>
      <c r="O113" s="11">
        <v>0</v>
      </c>
      <c r="P113" s="11">
        <v>50</v>
      </c>
      <c r="Q113" s="11">
        <v>0</v>
      </c>
      <c r="R113" s="11">
        <v>0</v>
      </c>
      <c r="S113" s="11">
        <v>0</v>
      </c>
      <c r="T113" s="9">
        <f t="shared" si="25"/>
        <v>0</v>
      </c>
    </row>
    <row r="114" spans="1:20" ht="18.75" customHeight="1" hidden="1">
      <c r="A114" s="27"/>
      <c r="B114" s="14" t="s">
        <v>360</v>
      </c>
      <c r="C114" s="21"/>
      <c r="D114" s="21"/>
      <c r="E114" s="21" t="s">
        <v>515</v>
      </c>
      <c r="F114" s="8"/>
      <c r="G114" s="156"/>
      <c r="H114" s="154"/>
      <c r="I114" s="154"/>
      <c r="J114" s="11"/>
      <c r="K114" s="11"/>
      <c r="L114" s="11"/>
      <c r="M114" s="11"/>
      <c r="N114" s="11"/>
      <c r="O114" s="11"/>
      <c r="P114" s="11">
        <v>150</v>
      </c>
      <c r="Q114" s="11">
        <v>0</v>
      </c>
      <c r="R114" s="11">
        <v>0</v>
      </c>
      <c r="S114" s="11">
        <v>0</v>
      </c>
      <c r="T114" s="9">
        <f t="shared" si="25"/>
        <v>0</v>
      </c>
    </row>
    <row r="115" spans="1:20" ht="18.75" customHeight="1" hidden="1">
      <c r="A115" s="22" t="s">
        <v>372</v>
      </c>
      <c r="B115" s="7" t="s">
        <v>194</v>
      </c>
      <c r="C115" s="30"/>
      <c r="D115" s="30" t="s">
        <v>324</v>
      </c>
      <c r="E115" s="30"/>
      <c r="F115" s="12"/>
      <c r="G115" s="155"/>
      <c r="H115" s="148"/>
      <c r="I115" s="148"/>
      <c r="J115" s="10"/>
      <c r="K115" s="10"/>
      <c r="L115" s="10"/>
      <c r="M115" s="10"/>
      <c r="N115" s="10"/>
      <c r="O115" s="10"/>
      <c r="P115" s="10"/>
      <c r="Q115" s="10"/>
      <c r="R115" s="10"/>
      <c r="S115" s="10">
        <f>S116</f>
        <v>0</v>
      </c>
      <c r="T115" s="13">
        <f t="shared" si="25"/>
        <v>0</v>
      </c>
    </row>
    <row r="116" spans="1:20" ht="18.75" customHeight="1" hidden="1">
      <c r="A116" s="27"/>
      <c r="B116" s="11" t="s">
        <v>332</v>
      </c>
      <c r="C116" s="21"/>
      <c r="D116" s="21"/>
      <c r="E116" s="21" t="s">
        <v>333</v>
      </c>
      <c r="F116" s="8"/>
      <c r="G116" s="156"/>
      <c r="H116" s="154"/>
      <c r="I116" s="154"/>
      <c r="J116" s="11"/>
      <c r="K116" s="11"/>
      <c r="L116" s="11"/>
      <c r="M116" s="11"/>
      <c r="N116" s="11"/>
      <c r="O116" s="11"/>
      <c r="P116" s="11"/>
      <c r="Q116" s="11"/>
      <c r="R116" s="11"/>
      <c r="S116" s="11">
        <v>0</v>
      </c>
      <c r="T116" s="9">
        <f t="shared" si="25"/>
        <v>0</v>
      </c>
    </row>
    <row r="117" spans="1:20" ht="27" customHeight="1" hidden="1">
      <c r="A117" s="10" t="s">
        <v>372</v>
      </c>
      <c r="B117" s="94" t="s">
        <v>376</v>
      </c>
      <c r="C117" s="30"/>
      <c r="D117" s="30" t="s">
        <v>44</v>
      </c>
      <c r="E117" s="30"/>
      <c r="F117" s="10" t="e">
        <f>#REF!+F118+#REF!</f>
        <v>#REF!</v>
      </c>
      <c r="G117" s="10" t="e">
        <f>#REF!+G118+#REF!</f>
        <v>#REF!</v>
      </c>
      <c r="H117" s="148" t="e">
        <f>IF(F117&gt;0,G117/F117*100,"")</f>
        <v>#REF!</v>
      </c>
      <c r="I117" s="148" t="e">
        <f>F117/F416</f>
        <v>#REF!</v>
      </c>
      <c r="J117" s="10"/>
      <c r="K117" s="10" t="e">
        <f>#REF!+K118+#REF!</f>
        <v>#REF!</v>
      </c>
      <c r="L117" s="10" t="e">
        <f>#REF!+L118+#REF!</f>
        <v>#REF!</v>
      </c>
      <c r="M117" s="10" t="e">
        <f>#REF!+M118+#REF!</f>
        <v>#REF!</v>
      </c>
      <c r="N117" s="10" t="e">
        <f>#REF!+N118+#REF!</f>
        <v>#REF!</v>
      </c>
      <c r="O117" s="10" t="e">
        <f>#REF!+O118+#REF!</f>
        <v>#REF!</v>
      </c>
      <c r="P117" s="196">
        <f>P118</f>
        <v>500</v>
      </c>
      <c r="Q117" s="196">
        <f>Q118</f>
        <v>0</v>
      </c>
      <c r="R117" s="196">
        <f>R118</f>
        <v>0</v>
      </c>
      <c r="S117" s="196">
        <f>S118</f>
        <v>0</v>
      </c>
      <c r="T117" s="13">
        <f t="shared" si="25"/>
        <v>0</v>
      </c>
    </row>
    <row r="118" spans="1:20" ht="21" customHeight="1" hidden="1">
      <c r="A118" s="11"/>
      <c r="B118" s="31" t="s">
        <v>328</v>
      </c>
      <c r="C118" s="21"/>
      <c r="D118" s="21"/>
      <c r="E118" s="21" t="s">
        <v>511</v>
      </c>
      <c r="F118" s="11">
        <v>6500</v>
      </c>
      <c r="G118" s="11">
        <v>4200</v>
      </c>
      <c r="H118" s="154">
        <f>IF(F118&gt;0,G118/F118*100,"")</f>
        <v>64.61538461538461</v>
      </c>
      <c r="I118" s="154" t="e">
        <f>F118/F416</f>
        <v>#DIV/0!</v>
      </c>
      <c r="J118" s="11"/>
      <c r="K118" s="11">
        <v>0</v>
      </c>
      <c r="L118" s="11">
        <v>0</v>
      </c>
      <c r="M118" s="11">
        <v>650</v>
      </c>
      <c r="N118" s="11">
        <v>0</v>
      </c>
      <c r="O118" s="11">
        <v>0</v>
      </c>
      <c r="P118" s="11">
        <v>500</v>
      </c>
      <c r="Q118" s="11">
        <v>0</v>
      </c>
      <c r="R118" s="11">
        <v>0</v>
      </c>
      <c r="S118" s="11">
        <v>0</v>
      </c>
      <c r="T118" s="9">
        <f t="shared" si="25"/>
        <v>0</v>
      </c>
    </row>
    <row r="119" spans="1:20" ht="16.5" customHeight="1" hidden="1">
      <c r="A119" s="10" t="s">
        <v>375</v>
      </c>
      <c r="B119" s="7" t="s">
        <v>378</v>
      </c>
      <c r="C119" s="30"/>
      <c r="D119" s="30" t="s">
        <v>46</v>
      </c>
      <c r="E119" s="30"/>
      <c r="F119" s="10">
        <f>F120</f>
        <v>19873</v>
      </c>
      <c r="G119" s="10">
        <f>G120</f>
        <v>20000</v>
      </c>
      <c r="H119" s="148">
        <f>G119/F119*100</f>
        <v>100.63905801841695</v>
      </c>
      <c r="I119" s="148" t="e">
        <f>F119/F400</f>
        <v>#REF!</v>
      </c>
      <c r="J119" s="10"/>
      <c r="K119" s="10">
        <f aca="true" t="shared" si="26" ref="K119:S119">K120</f>
        <v>0</v>
      </c>
      <c r="L119" s="10">
        <f t="shared" si="26"/>
        <v>0</v>
      </c>
      <c r="M119" s="10">
        <f t="shared" si="26"/>
        <v>12412</v>
      </c>
      <c r="N119" s="10">
        <f t="shared" si="26"/>
        <v>0</v>
      </c>
      <c r="O119" s="10">
        <f t="shared" si="26"/>
        <v>0</v>
      </c>
      <c r="P119" s="196">
        <f t="shared" si="26"/>
        <v>12412</v>
      </c>
      <c r="Q119" s="196">
        <f t="shared" si="26"/>
        <v>0</v>
      </c>
      <c r="R119" s="196">
        <f t="shared" si="26"/>
        <v>0</v>
      </c>
      <c r="S119" s="196">
        <f t="shared" si="26"/>
        <v>0</v>
      </c>
      <c r="T119" s="13">
        <f aca="true" t="shared" si="27" ref="T119:T127">S119/$S$400</f>
        <v>0</v>
      </c>
    </row>
    <row r="120" spans="1:20" ht="16.5" customHeight="1" hidden="1">
      <c r="A120" s="11"/>
      <c r="B120" s="14" t="s">
        <v>360</v>
      </c>
      <c r="C120" s="21"/>
      <c r="D120" s="21"/>
      <c r="E120" s="21" t="s">
        <v>515</v>
      </c>
      <c r="F120" s="11">
        <v>19873</v>
      </c>
      <c r="G120" s="11">
        <v>20000</v>
      </c>
      <c r="H120" s="154">
        <f>G120/F120*100</f>
        <v>100.63905801841695</v>
      </c>
      <c r="I120" s="154" t="e">
        <f>F120/F400</f>
        <v>#REF!</v>
      </c>
      <c r="J120" s="11"/>
      <c r="K120" s="11">
        <v>0</v>
      </c>
      <c r="L120" s="11">
        <v>0</v>
      </c>
      <c r="M120" s="11">
        <v>12412</v>
      </c>
      <c r="N120" s="11">
        <v>0</v>
      </c>
      <c r="O120" s="11">
        <v>0</v>
      </c>
      <c r="P120" s="11">
        <v>12412</v>
      </c>
      <c r="Q120" s="11">
        <v>0</v>
      </c>
      <c r="R120" s="11">
        <v>0</v>
      </c>
      <c r="S120" s="11">
        <v>0</v>
      </c>
      <c r="T120" s="9">
        <f t="shared" si="27"/>
        <v>0</v>
      </c>
    </row>
    <row r="121" spans="1:20" ht="18" customHeight="1" hidden="1">
      <c r="A121" s="10" t="s">
        <v>377</v>
      </c>
      <c r="B121" s="20" t="s">
        <v>52</v>
      </c>
      <c r="C121" s="30"/>
      <c r="D121" s="30" t="s">
        <v>51</v>
      </c>
      <c r="E121" s="30"/>
      <c r="F121" s="10">
        <f>F123</f>
        <v>2000</v>
      </c>
      <c r="G121" s="10">
        <f>G123</f>
        <v>2000</v>
      </c>
      <c r="H121" s="148">
        <f>IF(F121&gt;0,G121/F121*100,"")</f>
        <v>100</v>
      </c>
      <c r="I121" s="148" t="e">
        <f>F121/F400</f>
        <v>#REF!</v>
      </c>
      <c r="J121" s="10"/>
      <c r="K121" s="10">
        <f>K123</f>
        <v>0</v>
      </c>
      <c r="L121" s="10">
        <f>L123</f>
        <v>0</v>
      </c>
      <c r="M121" s="10">
        <f aca="true" t="shared" si="28" ref="M121:R121">M123+M124</f>
        <v>830</v>
      </c>
      <c r="N121" s="10">
        <f t="shared" si="28"/>
        <v>0</v>
      </c>
      <c r="O121" s="10">
        <f t="shared" si="28"/>
        <v>0</v>
      </c>
      <c r="P121" s="196">
        <f t="shared" si="28"/>
        <v>930</v>
      </c>
      <c r="Q121" s="196">
        <f t="shared" si="28"/>
        <v>0</v>
      </c>
      <c r="R121" s="196">
        <f t="shared" si="28"/>
        <v>0</v>
      </c>
      <c r="S121" s="196">
        <f>S123+S124+S122</f>
        <v>0</v>
      </c>
      <c r="T121" s="13">
        <f t="shared" si="27"/>
        <v>0</v>
      </c>
    </row>
    <row r="122" spans="1:20" ht="51.75" customHeight="1" hidden="1">
      <c r="A122" s="10"/>
      <c r="B122" s="14" t="s">
        <v>370</v>
      </c>
      <c r="C122" s="30"/>
      <c r="D122" s="34"/>
      <c r="E122" s="34" t="s">
        <v>513</v>
      </c>
      <c r="F122" s="23"/>
      <c r="G122" s="23"/>
      <c r="H122" s="165"/>
      <c r="I122" s="165"/>
      <c r="J122" s="23"/>
      <c r="K122" s="23"/>
      <c r="L122" s="23"/>
      <c r="M122" s="23"/>
      <c r="N122" s="23"/>
      <c r="O122" s="23"/>
      <c r="P122" s="413"/>
      <c r="Q122" s="413"/>
      <c r="R122" s="413"/>
      <c r="S122" s="413">
        <v>0</v>
      </c>
      <c r="T122" s="9">
        <f t="shared" si="27"/>
        <v>0</v>
      </c>
    </row>
    <row r="123" spans="1:20" ht="16.5" customHeight="1" hidden="1">
      <c r="A123" s="11"/>
      <c r="B123" s="14" t="s">
        <v>328</v>
      </c>
      <c r="C123" s="21"/>
      <c r="D123" s="21"/>
      <c r="E123" s="21" t="s">
        <v>511</v>
      </c>
      <c r="F123" s="11">
        <v>2000</v>
      </c>
      <c r="G123" s="11">
        <v>2000</v>
      </c>
      <c r="H123" s="154">
        <f>IF(F123&gt;0,G123/F123*100,"")</f>
        <v>100</v>
      </c>
      <c r="I123" s="154" t="e">
        <f>F123/F400</f>
        <v>#REF!</v>
      </c>
      <c r="J123" s="11"/>
      <c r="K123" s="11">
        <v>0</v>
      </c>
      <c r="L123" s="11">
        <v>0</v>
      </c>
      <c r="M123" s="11">
        <v>800</v>
      </c>
      <c r="N123" s="11">
        <v>0</v>
      </c>
      <c r="O123" s="11">
        <v>0</v>
      </c>
      <c r="P123" s="11">
        <v>900</v>
      </c>
      <c r="Q123" s="11">
        <v>0</v>
      </c>
      <c r="R123" s="11">
        <v>0</v>
      </c>
      <c r="S123" s="11">
        <v>0</v>
      </c>
      <c r="T123" s="9">
        <f t="shared" si="27"/>
        <v>0</v>
      </c>
    </row>
    <row r="124" spans="1:20" ht="16.5" customHeight="1" hidden="1">
      <c r="A124" s="11"/>
      <c r="B124" s="14" t="s">
        <v>360</v>
      </c>
      <c r="C124" s="21"/>
      <c r="D124" s="21"/>
      <c r="E124" s="21" t="s">
        <v>515</v>
      </c>
      <c r="F124" s="11"/>
      <c r="G124" s="11"/>
      <c r="H124" s="154"/>
      <c r="I124" s="154"/>
      <c r="J124" s="11"/>
      <c r="K124" s="11"/>
      <c r="L124" s="11"/>
      <c r="M124" s="11">
        <v>30</v>
      </c>
      <c r="N124" s="11">
        <v>0</v>
      </c>
      <c r="O124" s="11">
        <v>0</v>
      </c>
      <c r="P124" s="11">
        <v>30</v>
      </c>
      <c r="Q124" s="11">
        <v>0</v>
      </c>
      <c r="R124" s="11">
        <v>0</v>
      </c>
      <c r="S124" s="11">
        <v>0</v>
      </c>
      <c r="T124" s="9">
        <f t="shared" si="27"/>
        <v>0</v>
      </c>
    </row>
    <row r="125" spans="1:20" ht="18.75" customHeight="1">
      <c r="A125" s="60" t="s">
        <v>375</v>
      </c>
      <c r="B125" s="58" t="s">
        <v>376</v>
      </c>
      <c r="C125" s="372"/>
      <c r="D125" s="372" t="s">
        <v>836</v>
      </c>
      <c r="E125" s="372"/>
      <c r="F125" s="59"/>
      <c r="G125" s="59"/>
      <c r="H125" s="204"/>
      <c r="I125" s="204"/>
      <c r="J125" s="181"/>
      <c r="K125" s="59"/>
      <c r="L125" s="59"/>
      <c r="M125" s="59"/>
      <c r="N125" s="59"/>
      <c r="O125" s="59"/>
      <c r="P125" s="357"/>
      <c r="Q125" s="357"/>
      <c r="R125" s="357"/>
      <c r="S125" s="357">
        <f>S126</f>
        <v>992</v>
      </c>
      <c r="T125" s="365">
        <f t="shared" si="27"/>
        <v>3.5338294706416076E-05</v>
      </c>
    </row>
    <row r="126" spans="1:20" ht="16.5" customHeight="1">
      <c r="A126" s="289"/>
      <c r="B126" s="152" t="s">
        <v>360</v>
      </c>
      <c r="C126" s="495"/>
      <c r="D126" s="495"/>
      <c r="E126" s="495" t="s">
        <v>515</v>
      </c>
      <c r="F126" s="289"/>
      <c r="G126" s="289"/>
      <c r="H126" s="407"/>
      <c r="I126" s="407"/>
      <c r="J126" s="191"/>
      <c r="K126" s="289"/>
      <c r="L126" s="289"/>
      <c r="M126" s="289"/>
      <c r="N126" s="289"/>
      <c r="O126" s="289"/>
      <c r="P126" s="496"/>
      <c r="Q126" s="496"/>
      <c r="R126" s="496"/>
      <c r="S126" s="496">
        <v>992</v>
      </c>
      <c r="T126" s="420">
        <f t="shared" si="27"/>
        <v>3.5338294706416076E-05</v>
      </c>
    </row>
    <row r="127" spans="1:20" ht="25.5" customHeight="1">
      <c r="A127" s="10">
        <v>10</v>
      </c>
      <c r="B127" s="7" t="s">
        <v>837</v>
      </c>
      <c r="C127" s="30" t="s">
        <v>31</v>
      </c>
      <c r="D127" s="30"/>
      <c r="E127" s="30"/>
      <c r="F127" s="289"/>
      <c r="G127" s="289"/>
      <c r="H127" s="407"/>
      <c r="I127" s="407"/>
      <c r="J127" s="191"/>
      <c r="K127" s="289"/>
      <c r="L127" s="289"/>
      <c r="M127" s="289"/>
      <c r="N127" s="289"/>
      <c r="O127" s="289"/>
      <c r="P127" s="496"/>
      <c r="Q127" s="496"/>
      <c r="R127" s="496"/>
      <c r="S127" s="10">
        <f>S128+S130</f>
        <v>27341</v>
      </c>
      <c r="T127" s="9">
        <f t="shared" si="27"/>
        <v>0.000973976124564639</v>
      </c>
    </row>
    <row r="128" spans="1:20" ht="17.25" customHeight="1">
      <c r="A128" s="60" t="s">
        <v>320</v>
      </c>
      <c r="B128" s="58" t="s">
        <v>378</v>
      </c>
      <c r="C128" s="372"/>
      <c r="D128" s="372" t="s">
        <v>46</v>
      </c>
      <c r="E128" s="372"/>
      <c r="F128" s="59">
        <f>F129</f>
        <v>19873</v>
      </c>
      <c r="G128" s="59">
        <f>G129</f>
        <v>20000</v>
      </c>
      <c r="H128" s="204">
        <f>G128/F128*100</f>
        <v>100.63905801841695</v>
      </c>
      <c r="I128" s="204" t="e">
        <f>F128/F407</f>
        <v>#DIV/0!</v>
      </c>
      <c r="J128" s="40"/>
      <c r="K128" s="59">
        <f aca="true" t="shared" si="29" ref="K128:S128">K129</f>
        <v>0</v>
      </c>
      <c r="L128" s="59">
        <f t="shared" si="29"/>
        <v>0</v>
      </c>
      <c r="M128" s="59">
        <f t="shared" si="29"/>
        <v>12412</v>
      </c>
      <c r="N128" s="59">
        <f t="shared" si="29"/>
        <v>0</v>
      </c>
      <c r="O128" s="59">
        <f t="shared" si="29"/>
        <v>0</v>
      </c>
      <c r="P128" s="375">
        <f t="shared" si="29"/>
        <v>12412</v>
      </c>
      <c r="Q128" s="375">
        <f t="shared" si="29"/>
        <v>0</v>
      </c>
      <c r="R128" s="375">
        <f t="shared" si="29"/>
        <v>0</v>
      </c>
      <c r="S128" s="375">
        <f t="shared" si="29"/>
        <v>20491</v>
      </c>
      <c r="T128" s="374">
        <f aca="true" t="shared" si="30" ref="T128:T133">S128/$S$400</f>
        <v>0.0007299566500294071</v>
      </c>
    </row>
    <row r="129" spans="1:20" ht="17.25" customHeight="1">
      <c r="A129" s="11"/>
      <c r="B129" s="14" t="s">
        <v>360</v>
      </c>
      <c r="C129" s="21"/>
      <c r="D129" s="21"/>
      <c r="E129" s="21" t="s">
        <v>515</v>
      </c>
      <c r="F129" s="11">
        <v>19873</v>
      </c>
      <c r="G129" s="11">
        <v>20000</v>
      </c>
      <c r="H129" s="154">
        <f>G129/F129*100</f>
        <v>100.63905801841695</v>
      </c>
      <c r="I129" s="154" t="e">
        <f>F129/F407</f>
        <v>#DIV/0!</v>
      </c>
      <c r="K129" s="11">
        <v>0</v>
      </c>
      <c r="L129" s="11">
        <v>0</v>
      </c>
      <c r="M129" s="11">
        <v>12412</v>
      </c>
      <c r="N129" s="11">
        <v>0</v>
      </c>
      <c r="O129" s="11">
        <v>0</v>
      </c>
      <c r="P129" s="263">
        <v>12412</v>
      </c>
      <c r="Q129" s="263">
        <v>0</v>
      </c>
      <c r="R129" s="263">
        <v>0</v>
      </c>
      <c r="S129" s="11">
        <v>20491</v>
      </c>
      <c r="T129" s="9">
        <f t="shared" si="30"/>
        <v>0.0007299566500294071</v>
      </c>
    </row>
    <row r="130" spans="1:20" ht="18" customHeight="1">
      <c r="A130" s="22" t="s">
        <v>330</v>
      </c>
      <c r="B130" s="20" t="s">
        <v>52</v>
      </c>
      <c r="C130" s="30"/>
      <c r="D130" s="30" t="s">
        <v>51</v>
      </c>
      <c r="E130" s="30"/>
      <c r="F130" s="10">
        <f>F132</f>
        <v>2000</v>
      </c>
      <c r="G130" s="10">
        <f>G132</f>
        <v>2000</v>
      </c>
      <c r="H130" s="148">
        <f>IF(F130&gt;0,G130/F130*100,"")</f>
        <v>100</v>
      </c>
      <c r="I130" s="148" t="e">
        <f>F130/F407</f>
        <v>#DIV/0!</v>
      </c>
      <c r="J130" s="40"/>
      <c r="K130" s="10">
        <f>K132</f>
        <v>0</v>
      </c>
      <c r="L130" s="10">
        <f>L132</f>
        <v>0</v>
      </c>
      <c r="M130" s="10">
        <f aca="true" t="shared" si="31" ref="M130:R130">M132+M133</f>
        <v>830</v>
      </c>
      <c r="N130" s="10">
        <f t="shared" si="31"/>
        <v>0</v>
      </c>
      <c r="O130" s="10">
        <f t="shared" si="31"/>
        <v>0</v>
      </c>
      <c r="P130" s="342">
        <f t="shared" si="31"/>
        <v>930</v>
      </c>
      <c r="Q130" s="342">
        <f t="shared" si="31"/>
        <v>0</v>
      </c>
      <c r="R130" s="342">
        <f t="shared" si="31"/>
        <v>0</v>
      </c>
      <c r="S130" s="342">
        <f>S131+S133</f>
        <v>6850</v>
      </c>
      <c r="T130" s="13">
        <f t="shared" si="30"/>
        <v>0.00024401947453523196</v>
      </c>
    </row>
    <row r="131" spans="1:20" ht="15.75" customHeight="1">
      <c r="A131" s="10"/>
      <c r="B131" s="14" t="s">
        <v>171</v>
      </c>
      <c r="C131" s="30"/>
      <c r="D131" s="34"/>
      <c r="E131" s="34" t="s">
        <v>513</v>
      </c>
      <c r="F131" s="23"/>
      <c r="G131" s="23"/>
      <c r="H131" s="165"/>
      <c r="I131" s="165"/>
      <c r="J131" s="146"/>
      <c r="K131" s="23"/>
      <c r="L131" s="23"/>
      <c r="M131" s="23"/>
      <c r="N131" s="23"/>
      <c r="O131" s="23"/>
      <c r="P131" s="350"/>
      <c r="Q131" s="350"/>
      <c r="R131" s="350"/>
      <c r="S131" s="350">
        <v>1250</v>
      </c>
      <c r="T131" s="9">
        <f t="shared" si="30"/>
        <v>4.452910119256058E-05</v>
      </c>
    </row>
    <row r="132" spans="1:20" ht="16.5" customHeight="1" hidden="1">
      <c r="A132" s="11"/>
      <c r="B132" s="14" t="s">
        <v>328</v>
      </c>
      <c r="C132" s="21"/>
      <c r="D132" s="21"/>
      <c r="E132" s="21" t="s">
        <v>511</v>
      </c>
      <c r="F132" s="11">
        <v>2000</v>
      </c>
      <c r="G132" s="11">
        <v>2000</v>
      </c>
      <c r="H132" s="154">
        <f>IF(F132&gt;0,G132/F132*100,"")</f>
        <v>100</v>
      </c>
      <c r="I132" s="154" t="e">
        <f>F132/F407</f>
        <v>#DIV/0!</v>
      </c>
      <c r="K132" s="11">
        <v>0</v>
      </c>
      <c r="L132" s="11">
        <v>0</v>
      </c>
      <c r="M132" s="11">
        <v>800</v>
      </c>
      <c r="N132" s="11">
        <v>0</v>
      </c>
      <c r="O132" s="11">
        <v>0</v>
      </c>
      <c r="P132" s="263">
        <v>900</v>
      </c>
      <c r="Q132" s="263">
        <v>0</v>
      </c>
      <c r="R132" s="263">
        <v>0</v>
      </c>
      <c r="S132" s="11">
        <v>0</v>
      </c>
      <c r="T132" s="9">
        <f t="shared" si="30"/>
        <v>0</v>
      </c>
    </row>
    <row r="133" spans="1:20" ht="16.5" customHeight="1">
      <c r="A133" s="11"/>
      <c r="B133" s="14" t="s">
        <v>360</v>
      </c>
      <c r="C133" s="21"/>
      <c r="D133" s="21"/>
      <c r="E133" s="21" t="s">
        <v>515</v>
      </c>
      <c r="F133" s="11"/>
      <c r="G133" s="11"/>
      <c r="H133" s="154"/>
      <c r="I133" s="154"/>
      <c r="K133" s="11"/>
      <c r="L133" s="11"/>
      <c r="M133" s="11">
        <v>30</v>
      </c>
      <c r="N133" s="11">
        <v>0</v>
      </c>
      <c r="O133" s="11">
        <v>0</v>
      </c>
      <c r="P133" s="263">
        <v>30</v>
      </c>
      <c r="Q133" s="263">
        <v>0</v>
      </c>
      <c r="R133" s="263">
        <v>0</v>
      </c>
      <c r="S133" s="11">
        <v>5600</v>
      </c>
      <c r="T133" s="9">
        <f t="shared" si="30"/>
        <v>0.00019949037334267137</v>
      </c>
    </row>
    <row r="134" spans="1:20" ht="19.5" customHeight="1">
      <c r="A134" s="10">
        <v>11</v>
      </c>
      <c r="B134" s="158" t="s">
        <v>379</v>
      </c>
      <c r="C134" s="30" t="s">
        <v>54</v>
      </c>
      <c r="D134" s="21"/>
      <c r="E134" s="21"/>
      <c r="F134" s="11" t="e">
        <f>F135+F140+F144</f>
        <v>#REF!</v>
      </c>
      <c r="G134" s="10" t="e">
        <f>G135+G140+G144</f>
        <v>#REF!</v>
      </c>
      <c r="H134" s="148" t="e">
        <f>IF(F134&gt;0,G134/F134*100,"")</f>
        <v>#REF!</v>
      </c>
      <c r="I134" s="148" t="e">
        <f>F134/F400</f>
        <v>#REF!</v>
      </c>
      <c r="J134" s="40"/>
      <c r="K134" s="10" t="e">
        <f aca="true" t="shared" si="32" ref="K134:P134">K135+K140+K144</f>
        <v>#REF!</v>
      </c>
      <c r="L134" s="10" t="e">
        <f t="shared" si="32"/>
        <v>#REF!</v>
      </c>
      <c r="M134" s="10" t="e">
        <f t="shared" si="32"/>
        <v>#REF!</v>
      </c>
      <c r="N134" s="10" t="e">
        <f t="shared" si="32"/>
        <v>#REF!</v>
      </c>
      <c r="O134" s="10" t="e">
        <f t="shared" si="32"/>
        <v>#REF!</v>
      </c>
      <c r="P134" s="342">
        <f t="shared" si="32"/>
        <v>434163</v>
      </c>
      <c r="Q134" s="342">
        <f>Q135+Q140+Q144</f>
        <v>0</v>
      </c>
      <c r="R134" s="342">
        <f>R135+R140+R144</f>
        <v>904</v>
      </c>
      <c r="S134" s="342">
        <f>S135+S140+S144</f>
        <v>250148</v>
      </c>
      <c r="T134" s="13">
        <f>S134/$S$400</f>
        <v>0.008911092484093315</v>
      </c>
    </row>
    <row r="135" spans="1:20" ht="18" customHeight="1">
      <c r="A135" s="10" t="s">
        <v>320</v>
      </c>
      <c r="B135" s="7" t="s">
        <v>57</v>
      </c>
      <c r="C135" s="30"/>
      <c r="D135" s="30" t="s">
        <v>56</v>
      </c>
      <c r="E135" s="30"/>
      <c r="F135" s="10">
        <f>F136+F137+F138</f>
        <v>84355</v>
      </c>
      <c r="G135" s="10" t="e">
        <f>G136+G137+G138+#REF!</f>
        <v>#REF!</v>
      </c>
      <c r="H135" s="148" t="e">
        <f>IF(F135&gt;0,G135/F135*100,"")</f>
        <v>#REF!</v>
      </c>
      <c r="I135" s="148" t="e">
        <f>F135/F400</f>
        <v>#REF!</v>
      </c>
      <c r="J135" s="40"/>
      <c r="K135" s="10" t="e">
        <f>K136+K137+K138+#REF!</f>
        <v>#REF!</v>
      </c>
      <c r="L135" s="10" t="e">
        <f>L136+L137+L138+#REF!</f>
        <v>#REF!</v>
      </c>
      <c r="M135" s="10" t="e">
        <f>#REF!+M136+M137+M138+#REF!+M139</f>
        <v>#REF!</v>
      </c>
      <c r="N135" s="10" t="e">
        <f>#REF!+N136+N137+#REF!+N138+N139</f>
        <v>#REF!</v>
      </c>
      <c r="O135" s="10" t="e">
        <f>#REF!+O136+O137+#REF!+O138+O139</f>
        <v>#REF!</v>
      </c>
      <c r="P135" s="342">
        <f>P136+P137+P138+P139</f>
        <v>67100</v>
      </c>
      <c r="Q135" s="342">
        <f>Q136+Q137+Q138+Q139</f>
        <v>0</v>
      </c>
      <c r="R135" s="342">
        <f>R136+R137+R138+R139</f>
        <v>0</v>
      </c>
      <c r="S135" s="342">
        <f>S136+S137</f>
        <v>51836</v>
      </c>
      <c r="T135" s="13">
        <f>S135/$S$400</f>
        <v>0.001846568391534056</v>
      </c>
    </row>
    <row r="136" spans="1:20" ht="15.75" customHeight="1">
      <c r="A136" s="11"/>
      <c r="B136" s="298" t="s">
        <v>336</v>
      </c>
      <c r="C136" s="21"/>
      <c r="D136" s="21"/>
      <c r="E136" s="21" t="s">
        <v>513</v>
      </c>
      <c r="F136" s="11">
        <v>8195</v>
      </c>
      <c r="G136" s="11">
        <v>33775</v>
      </c>
      <c r="H136" s="154">
        <f>IF(F136&gt;0,G136/F136*100,"")</f>
        <v>412.1415497254423</v>
      </c>
      <c r="I136" s="154" t="e">
        <f>F136/F400</f>
        <v>#REF!</v>
      </c>
      <c r="K136" s="11">
        <v>0</v>
      </c>
      <c r="L136" s="11">
        <v>0</v>
      </c>
      <c r="M136" s="11">
        <v>20900</v>
      </c>
      <c r="N136" s="11">
        <v>0</v>
      </c>
      <c r="O136" s="11">
        <v>0</v>
      </c>
      <c r="P136" s="263">
        <v>18000</v>
      </c>
      <c r="Q136" s="263">
        <v>0</v>
      </c>
      <c r="R136" s="263">
        <v>0</v>
      </c>
      <c r="S136" s="11">
        <v>5036</v>
      </c>
      <c r="T136" s="9">
        <f>S136/$S$400</f>
        <v>0.00017939884288458805</v>
      </c>
    </row>
    <row r="137" spans="1:20" ht="21" customHeight="1">
      <c r="A137" s="11"/>
      <c r="B137" s="14" t="s">
        <v>97</v>
      </c>
      <c r="C137" s="21"/>
      <c r="D137" s="21"/>
      <c r="E137" s="21" t="s">
        <v>96</v>
      </c>
      <c r="F137" s="11">
        <v>60000</v>
      </c>
      <c r="G137" s="11">
        <v>66000</v>
      </c>
      <c r="H137" s="154">
        <f>IF(F137&gt;0,G137/F137*100,"")</f>
        <v>110.00000000000001</v>
      </c>
      <c r="I137" s="154" t="e">
        <f>F137/F400</f>
        <v>#REF!</v>
      </c>
      <c r="K137" s="11">
        <v>0</v>
      </c>
      <c r="L137" s="11">
        <v>0</v>
      </c>
      <c r="M137" s="11">
        <v>55000</v>
      </c>
      <c r="N137" s="11">
        <v>0</v>
      </c>
      <c r="O137" s="11">
        <v>0</v>
      </c>
      <c r="P137" s="263">
        <v>49000</v>
      </c>
      <c r="Q137" s="263">
        <v>0</v>
      </c>
      <c r="R137" s="263">
        <v>0</v>
      </c>
      <c r="S137" s="11">
        <v>46800</v>
      </c>
      <c r="T137" s="9">
        <f aca="true" t="shared" si="33" ref="T137:T177">S137/$S$400</f>
        <v>0.001667169548649468</v>
      </c>
    </row>
    <row r="138" spans="1:20" ht="0.75" customHeight="1" hidden="1">
      <c r="A138" s="11"/>
      <c r="B138" s="14" t="s">
        <v>328</v>
      </c>
      <c r="C138" s="21"/>
      <c r="D138" s="21"/>
      <c r="E138" s="21" t="s">
        <v>511</v>
      </c>
      <c r="F138" s="11">
        <v>16160</v>
      </c>
      <c r="G138" s="11">
        <v>16748</v>
      </c>
      <c r="H138" s="154">
        <f>IF(F138&gt;0,G138/F138*100,"")</f>
        <v>103.63861386138613</v>
      </c>
      <c r="I138" s="154" t="e">
        <f>F138/F400</f>
        <v>#REF!</v>
      </c>
      <c r="K138" s="11">
        <v>0</v>
      </c>
      <c r="L138" s="11">
        <v>0</v>
      </c>
      <c r="M138" s="11">
        <v>700</v>
      </c>
      <c r="N138" s="11">
        <v>0</v>
      </c>
      <c r="O138" s="11">
        <v>0</v>
      </c>
      <c r="P138" s="263">
        <v>100</v>
      </c>
      <c r="Q138" s="263">
        <v>0</v>
      </c>
      <c r="R138" s="263">
        <v>0</v>
      </c>
      <c r="S138" s="11">
        <v>0</v>
      </c>
      <c r="T138" s="9">
        <f t="shared" si="33"/>
        <v>0</v>
      </c>
    </row>
    <row r="139" spans="1:20" ht="16.5" customHeight="1" hidden="1">
      <c r="A139" s="11"/>
      <c r="B139" s="14" t="s">
        <v>360</v>
      </c>
      <c r="C139" s="21"/>
      <c r="D139" s="21"/>
      <c r="E139" s="21" t="s">
        <v>341</v>
      </c>
      <c r="F139" s="11"/>
      <c r="G139" s="11"/>
      <c r="H139" s="154"/>
      <c r="I139" s="154"/>
      <c r="K139" s="11"/>
      <c r="L139" s="11"/>
      <c r="M139" s="11">
        <v>200</v>
      </c>
      <c r="N139" s="11">
        <v>0</v>
      </c>
      <c r="O139" s="11">
        <v>0</v>
      </c>
      <c r="P139" s="263">
        <v>0</v>
      </c>
      <c r="Q139" s="263">
        <v>0</v>
      </c>
      <c r="R139" s="263">
        <v>0</v>
      </c>
      <c r="S139" s="11"/>
      <c r="T139" s="9">
        <f t="shared" si="33"/>
        <v>0</v>
      </c>
    </row>
    <row r="140" spans="1:20" ht="20.25" customHeight="1">
      <c r="A140" s="10" t="s">
        <v>330</v>
      </c>
      <c r="B140" s="7" t="s">
        <v>545</v>
      </c>
      <c r="C140" s="30"/>
      <c r="D140" s="30" t="s">
        <v>60</v>
      </c>
      <c r="E140" s="30"/>
      <c r="F140" s="10" t="e">
        <f>F141+F142+#REF!+F143</f>
        <v>#REF!</v>
      </c>
      <c r="G140" s="10" t="e">
        <f>G141+G142+#REF!+G143</f>
        <v>#REF!</v>
      </c>
      <c r="H140" s="148" t="e">
        <f aca="true" t="shared" si="34" ref="H140:H149">IF(F140&gt;0,G140/F140*100,"")</f>
        <v>#REF!</v>
      </c>
      <c r="I140" s="148" t="e">
        <f>F140/F400</f>
        <v>#REF!</v>
      </c>
      <c r="J140" s="40"/>
      <c r="K140" s="10" t="e">
        <f>K142+#REF!+K143</f>
        <v>#REF!</v>
      </c>
      <c r="L140" s="10" t="e">
        <f>L142+#REF!+L143</f>
        <v>#REF!</v>
      </c>
      <c r="M140" s="10" t="e">
        <f>M142+#REF!+M143</f>
        <v>#REF!</v>
      </c>
      <c r="N140" s="10" t="e">
        <f>N142+#REF!+N143</f>
        <v>#REF!</v>
      </c>
      <c r="O140" s="10" t="e">
        <f>O142+#REF!+O143</f>
        <v>#REF!</v>
      </c>
      <c r="P140" s="342">
        <f>P142+P143</f>
        <v>22890</v>
      </c>
      <c r="Q140" s="342">
        <f>Q142+Q143</f>
        <v>0</v>
      </c>
      <c r="R140" s="342">
        <f>R142+R143</f>
        <v>904</v>
      </c>
      <c r="S140" s="342">
        <f>S142+S143</f>
        <v>21112</v>
      </c>
      <c r="T140" s="13">
        <f t="shared" si="33"/>
        <v>0.0007520787075018711</v>
      </c>
    </row>
    <row r="141" spans="1:20" ht="16.5" customHeight="1" hidden="1">
      <c r="A141" s="11"/>
      <c r="B141" s="14" t="s">
        <v>332</v>
      </c>
      <c r="C141" s="21"/>
      <c r="D141" s="21"/>
      <c r="E141" s="21" t="s">
        <v>333</v>
      </c>
      <c r="F141" s="11">
        <v>10</v>
      </c>
      <c r="G141" s="11">
        <v>0</v>
      </c>
      <c r="H141" s="154">
        <f t="shared" si="34"/>
        <v>0</v>
      </c>
      <c r="I141" s="154" t="e">
        <f>F141/F400</f>
        <v>#REF!</v>
      </c>
      <c r="K141" s="11"/>
      <c r="L141" s="11"/>
      <c r="M141" s="11"/>
      <c r="N141" s="11"/>
      <c r="O141" s="11"/>
      <c r="P141" s="263"/>
      <c r="Q141" s="263"/>
      <c r="R141" s="263"/>
      <c r="S141" s="11"/>
      <c r="T141" s="9">
        <f t="shared" si="33"/>
        <v>0</v>
      </c>
    </row>
    <row r="142" spans="1:20" ht="17.25" customHeight="1">
      <c r="A142" s="11"/>
      <c r="B142" s="298" t="s">
        <v>597</v>
      </c>
      <c r="C142" s="21"/>
      <c r="D142" s="21"/>
      <c r="E142" s="21" t="s">
        <v>513</v>
      </c>
      <c r="F142" s="11">
        <v>19580</v>
      </c>
      <c r="G142" s="11">
        <v>23550</v>
      </c>
      <c r="H142" s="154">
        <f t="shared" si="34"/>
        <v>120.27579162410622</v>
      </c>
      <c r="I142" s="154" t="e">
        <f>F142/F400</f>
        <v>#REF!</v>
      </c>
      <c r="K142" s="11">
        <v>0</v>
      </c>
      <c r="L142" s="11">
        <v>0</v>
      </c>
      <c r="M142" s="11">
        <v>22560</v>
      </c>
      <c r="N142" s="11">
        <v>0</v>
      </c>
      <c r="O142" s="11">
        <v>0</v>
      </c>
      <c r="P142" s="263">
        <v>22740</v>
      </c>
      <c r="Q142" s="263">
        <v>0</v>
      </c>
      <c r="R142" s="263">
        <v>760</v>
      </c>
      <c r="S142" s="11">
        <v>21012</v>
      </c>
      <c r="T142" s="9">
        <f t="shared" si="33"/>
        <v>0.0007485163794064663</v>
      </c>
    </row>
    <row r="143" spans="1:20" ht="14.25" customHeight="1">
      <c r="A143" s="11"/>
      <c r="B143" s="14" t="s">
        <v>338</v>
      </c>
      <c r="C143" s="21"/>
      <c r="D143" s="21"/>
      <c r="E143" s="21" t="s">
        <v>514</v>
      </c>
      <c r="F143" s="11">
        <v>1563</v>
      </c>
      <c r="G143" s="11">
        <v>1863</v>
      </c>
      <c r="H143" s="154">
        <f t="shared" si="34"/>
        <v>119.19385796545106</v>
      </c>
      <c r="I143" s="154" t="e">
        <f>F143/F400</f>
        <v>#REF!</v>
      </c>
      <c r="K143" s="11">
        <v>0</v>
      </c>
      <c r="L143" s="11">
        <v>0</v>
      </c>
      <c r="M143" s="11">
        <v>100</v>
      </c>
      <c r="N143" s="11">
        <v>0</v>
      </c>
      <c r="O143" s="11">
        <v>0</v>
      </c>
      <c r="P143" s="263">
        <v>150</v>
      </c>
      <c r="Q143" s="263">
        <v>0</v>
      </c>
      <c r="R143" s="263">
        <v>144</v>
      </c>
      <c r="S143" s="11">
        <v>100</v>
      </c>
      <c r="T143" s="9">
        <f t="shared" si="33"/>
        <v>3.5623280954048463E-06</v>
      </c>
    </row>
    <row r="144" spans="1:20" ht="16.5" customHeight="1">
      <c r="A144" s="10" t="s">
        <v>372</v>
      </c>
      <c r="B144" s="7" t="s">
        <v>63</v>
      </c>
      <c r="C144" s="30"/>
      <c r="D144" s="30" t="s">
        <v>62</v>
      </c>
      <c r="E144" s="30"/>
      <c r="F144" s="10">
        <f>F145+F146</f>
        <v>21680</v>
      </c>
      <c r="G144" s="10">
        <f>G145+G146</f>
        <v>17100</v>
      </c>
      <c r="H144" s="148">
        <f t="shared" si="34"/>
        <v>78.87453874538745</v>
      </c>
      <c r="I144" s="148" t="e">
        <f>F144/F400</f>
        <v>#REF!</v>
      </c>
      <c r="J144" s="40"/>
      <c r="K144" s="10">
        <f>K145+K146</f>
        <v>0</v>
      </c>
      <c r="L144" s="10">
        <f>L145+L146</f>
        <v>0</v>
      </c>
      <c r="M144" s="10">
        <f>M145+M146+M149</f>
        <v>278260</v>
      </c>
      <c r="N144" s="10">
        <f>N145+N146+N149</f>
        <v>0</v>
      </c>
      <c r="O144" s="10">
        <f>O145+O146+O149</f>
        <v>0</v>
      </c>
      <c r="P144" s="342">
        <f>P145+P146+P149+P154+P155</f>
        <v>344173</v>
      </c>
      <c r="Q144" s="342">
        <f>Q145+Q146+Q149+Q154+Q155</f>
        <v>0</v>
      </c>
      <c r="R144" s="342">
        <f>R145+R146+R149+R154+R155</f>
        <v>0</v>
      </c>
      <c r="S144" s="342">
        <f>S145+S146+S154+S155</f>
        <v>177200</v>
      </c>
      <c r="T144" s="13">
        <f t="shared" si="33"/>
        <v>0.006312445385057388</v>
      </c>
    </row>
    <row r="145" spans="1:20" ht="16.5" customHeight="1">
      <c r="A145" s="11"/>
      <c r="B145" s="298" t="s">
        <v>336</v>
      </c>
      <c r="C145" s="21"/>
      <c r="D145" s="21"/>
      <c r="E145" s="21" t="s">
        <v>513</v>
      </c>
      <c r="F145" s="11">
        <v>19535</v>
      </c>
      <c r="G145" s="11">
        <v>14800</v>
      </c>
      <c r="H145" s="154">
        <f t="shared" si="34"/>
        <v>75.76145380087024</v>
      </c>
      <c r="I145" s="154" t="e">
        <f>F145/F400</f>
        <v>#REF!</v>
      </c>
      <c r="K145" s="11">
        <v>0</v>
      </c>
      <c r="L145" s="11">
        <v>0</v>
      </c>
      <c r="M145" s="11">
        <v>165726</v>
      </c>
      <c r="N145" s="11">
        <v>0</v>
      </c>
      <c r="O145" s="11">
        <v>0</v>
      </c>
      <c r="P145" s="263">
        <v>187501</v>
      </c>
      <c r="Q145" s="263">
        <v>0</v>
      </c>
      <c r="R145" s="263">
        <v>0</v>
      </c>
      <c r="S145" s="11">
        <v>70000</v>
      </c>
      <c r="T145" s="9">
        <f t="shared" si="33"/>
        <v>0.002493629666783392</v>
      </c>
    </row>
    <row r="146" spans="1:20" ht="14.25" customHeight="1">
      <c r="A146" s="11"/>
      <c r="B146" s="14" t="s">
        <v>338</v>
      </c>
      <c r="C146" s="21"/>
      <c r="D146" s="21"/>
      <c r="E146" s="21" t="s">
        <v>514</v>
      </c>
      <c r="F146" s="11">
        <v>2145</v>
      </c>
      <c r="G146" s="11">
        <v>2300</v>
      </c>
      <c r="H146" s="154">
        <f t="shared" si="34"/>
        <v>107.22610722610723</v>
      </c>
      <c r="I146" s="154" t="e">
        <f>F146/F400</f>
        <v>#REF!</v>
      </c>
      <c r="K146" s="11">
        <v>0</v>
      </c>
      <c r="L146" s="11">
        <v>0</v>
      </c>
      <c r="M146" s="11">
        <v>92012</v>
      </c>
      <c r="N146" s="11">
        <v>0</v>
      </c>
      <c r="O146" s="11">
        <v>0</v>
      </c>
      <c r="P146" s="263">
        <v>100384</v>
      </c>
      <c r="Q146" s="263">
        <v>0</v>
      </c>
      <c r="R146" s="263">
        <v>0</v>
      </c>
      <c r="S146" s="11">
        <v>92000</v>
      </c>
      <c r="T146" s="9">
        <f t="shared" si="33"/>
        <v>0.0032773418477724586</v>
      </c>
    </row>
    <row r="147" spans="1:20" ht="18.75" customHeight="1" hidden="1">
      <c r="A147" s="10" t="s">
        <v>294</v>
      </c>
      <c r="B147" s="158" t="s">
        <v>202</v>
      </c>
      <c r="C147" s="21" t="s">
        <v>75</v>
      </c>
      <c r="D147" s="21"/>
      <c r="E147" s="21"/>
      <c r="F147" s="11">
        <f>F148</f>
        <v>700</v>
      </c>
      <c r="G147" s="11">
        <f>G148</f>
        <v>0</v>
      </c>
      <c r="H147" s="154">
        <f t="shared" si="34"/>
        <v>0</v>
      </c>
      <c r="I147" s="154" t="e">
        <f>F147/F400</f>
        <v>#REF!</v>
      </c>
      <c r="K147" s="11"/>
      <c r="L147" s="11"/>
      <c r="M147" s="11"/>
      <c r="N147" s="11"/>
      <c r="O147" s="11"/>
      <c r="P147" s="263"/>
      <c r="Q147" s="263"/>
      <c r="R147" s="263"/>
      <c r="S147" s="11"/>
      <c r="T147" s="9">
        <f t="shared" si="33"/>
        <v>0</v>
      </c>
    </row>
    <row r="148" spans="1:20" ht="19.5" customHeight="1" hidden="1">
      <c r="A148" s="11" t="s">
        <v>320</v>
      </c>
      <c r="B148" s="14" t="s">
        <v>795</v>
      </c>
      <c r="C148" s="21"/>
      <c r="D148" s="21" t="s">
        <v>79</v>
      </c>
      <c r="E148" s="21"/>
      <c r="F148" s="11">
        <f>F149</f>
        <v>700</v>
      </c>
      <c r="G148" s="11">
        <f>G149</f>
        <v>0</v>
      </c>
      <c r="H148" s="154">
        <f t="shared" si="34"/>
        <v>0</v>
      </c>
      <c r="I148" s="154" t="e">
        <f>F148/F400</f>
        <v>#REF!</v>
      </c>
      <c r="K148" s="11"/>
      <c r="L148" s="11"/>
      <c r="M148" s="11"/>
      <c r="N148" s="11"/>
      <c r="O148" s="11"/>
      <c r="P148" s="263"/>
      <c r="Q148" s="263"/>
      <c r="R148" s="263"/>
      <c r="S148" s="11"/>
      <c r="T148" s="9">
        <f t="shared" si="33"/>
        <v>0</v>
      </c>
    </row>
    <row r="149" spans="1:20" ht="20.25" customHeight="1" hidden="1">
      <c r="A149" s="11"/>
      <c r="B149" s="14" t="s">
        <v>360</v>
      </c>
      <c r="C149" s="21"/>
      <c r="D149" s="21"/>
      <c r="E149" s="21" t="s">
        <v>341</v>
      </c>
      <c r="F149" s="11">
        <v>700</v>
      </c>
      <c r="G149" s="11">
        <v>0</v>
      </c>
      <c r="H149" s="154">
        <f t="shared" si="34"/>
        <v>0</v>
      </c>
      <c r="I149" s="154">
        <f>G149/F149*100</f>
        <v>0</v>
      </c>
      <c r="K149" s="11"/>
      <c r="L149" s="11"/>
      <c r="M149" s="11">
        <v>20522</v>
      </c>
      <c r="N149" s="11">
        <v>0</v>
      </c>
      <c r="O149" s="11">
        <v>0</v>
      </c>
      <c r="P149" s="263">
        <v>0</v>
      </c>
      <c r="Q149" s="263">
        <v>0</v>
      </c>
      <c r="R149" s="263">
        <v>0</v>
      </c>
      <c r="S149" s="11"/>
      <c r="T149" s="9">
        <f t="shared" si="33"/>
        <v>0</v>
      </c>
    </row>
    <row r="150" spans="1:20" ht="19.5" customHeight="1" hidden="1">
      <c r="A150" s="11"/>
      <c r="B150" s="14"/>
      <c r="C150" s="21"/>
      <c r="D150" s="21"/>
      <c r="E150" s="21"/>
      <c r="F150" s="11"/>
      <c r="G150" s="11"/>
      <c r="H150" s="154"/>
      <c r="I150" s="154"/>
      <c r="K150" s="11"/>
      <c r="L150" s="11"/>
      <c r="M150" s="11"/>
      <c r="N150" s="11"/>
      <c r="O150" s="11"/>
      <c r="P150" s="263"/>
      <c r="Q150" s="263"/>
      <c r="R150" s="263"/>
      <c r="S150" s="11"/>
      <c r="T150" s="9">
        <f t="shared" si="33"/>
        <v>0</v>
      </c>
    </row>
    <row r="151" spans="1:20" ht="18.75" customHeight="1" hidden="1">
      <c r="A151" s="10" t="s">
        <v>294</v>
      </c>
      <c r="B151" s="7" t="s">
        <v>202</v>
      </c>
      <c r="C151" s="30" t="s">
        <v>75</v>
      </c>
      <c r="D151" s="30"/>
      <c r="E151" s="30"/>
      <c r="F151" s="10"/>
      <c r="G151" s="10">
        <f>G152</f>
        <v>450</v>
      </c>
      <c r="H151" s="148"/>
      <c r="I151" s="148"/>
      <c r="J151" s="40"/>
      <c r="K151" s="10">
        <f aca="true" t="shared" si="35" ref="K151:M152">K152</f>
        <v>0</v>
      </c>
      <c r="L151" s="10">
        <f t="shared" si="35"/>
        <v>0</v>
      </c>
      <c r="M151" s="10">
        <f t="shared" si="35"/>
        <v>902</v>
      </c>
      <c r="N151" s="10">
        <f aca="true" t="shared" si="36" ref="N151:R152">N152</f>
        <v>0</v>
      </c>
      <c r="O151" s="10">
        <f t="shared" si="36"/>
        <v>0</v>
      </c>
      <c r="P151" s="342">
        <f t="shared" si="36"/>
        <v>0</v>
      </c>
      <c r="Q151" s="342">
        <f t="shared" si="36"/>
        <v>0</v>
      </c>
      <c r="R151" s="342">
        <f t="shared" si="36"/>
        <v>0</v>
      </c>
      <c r="S151" s="11"/>
      <c r="T151" s="9">
        <f t="shared" si="33"/>
        <v>0</v>
      </c>
    </row>
    <row r="152" spans="1:20" ht="19.5" customHeight="1" hidden="1">
      <c r="A152" s="11" t="s">
        <v>320</v>
      </c>
      <c r="B152" s="14" t="s">
        <v>795</v>
      </c>
      <c r="C152" s="21"/>
      <c r="D152" s="30" t="s">
        <v>79</v>
      </c>
      <c r="E152" s="30"/>
      <c r="F152" s="10"/>
      <c r="G152" s="10">
        <f>G153</f>
        <v>450</v>
      </c>
      <c r="H152" s="148"/>
      <c r="I152" s="148"/>
      <c r="J152" s="40"/>
      <c r="K152" s="10">
        <f t="shared" si="35"/>
        <v>0</v>
      </c>
      <c r="L152" s="10">
        <f t="shared" si="35"/>
        <v>0</v>
      </c>
      <c r="M152" s="10">
        <f t="shared" si="35"/>
        <v>902</v>
      </c>
      <c r="N152" s="10">
        <f t="shared" si="36"/>
        <v>0</v>
      </c>
      <c r="O152" s="10">
        <f t="shared" si="36"/>
        <v>0</v>
      </c>
      <c r="P152" s="342">
        <f t="shared" si="36"/>
        <v>0</v>
      </c>
      <c r="Q152" s="342">
        <f t="shared" si="36"/>
        <v>0</v>
      </c>
      <c r="R152" s="342">
        <f t="shared" si="36"/>
        <v>0</v>
      </c>
      <c r="S152" s="11"/>
      <c r="T152" s="9">
        <f t="shared" si="33"/>
        <v>0</v>
      </c>
    </row>
    <row r="153" spans="1:20" ht="19.5" customHeight="1" hidden="1">
      <c r="A153" s="11"/>
      <c r="B153" s="14" t="s">
        <v>360</v>
      </c>
      <c r="C153" s="21"/>
      <c r="D153" s="21"/>
      <c r="E153" s="21" t="s">
        <v>341</v>
      </c>
      <c r="F153" s="11"/>
      <c r="G153">
        <v>450</v>
      </c>
      <c r="H153" s="154"/>
      <c r="I153" s="154"/>
      <c r="K153" s="11">
        <v>0</v>
      </c>
      <c r="L153" s="11">
        <v>0</v>
      </c>
      <c r="M153" s="11">
        <v>902</v>
      </c>
      <c r="N153" s="11">
        <v>0</v>
      </c>
      <c r="O153" s="11">
        <v>0</v>
      </c>
      <c r="P153" s="263">
        <v>0</v>
      </c>
      <c r="Q153" s="263">
        <v>0</v>
      </c>
      <c r="R153" s="263">
        <v>0</v>
      </c>
      <c r="S153" s="11"/>
      <c r="T153" s="9">
        <f t="shared" si="33"/>
        <v>0</v>
      </c>
    </row>
    <row r="154" spans="1:20" ht="12.75" customHeight="1">
      <c r="A154" s="11"/>
      <c r="B154" s="14" t="s">
        <v>328</v>
      </c>
      <c r="C154" s="21"/>
      <c r="D154" s="21"/>
      <c r="E154" s="21" t="s">
        <v>511</v>
      </c>
      <c r="F154" s="11"/>
      <c r="H154" s="154"/>
      <c r="I154" s="154"/>
      <c r="K154" s="11"/>
      <c r="L154" s="11"/>
      <c r="M154" s="11"/>
      <c r="N154" s="11"/>
      <c r="O154" s="11"/>
      <c r="P154" s="263">
        <v>4719</v>
      </c>
      <c r="Q154" s="263">
        <v>0</v>
      </c>
      <c r="R154" s="263">
        <v>0</v>
      </c>
      <c r="S154" s="11">
        <v>200</v>
      </c>
      <c r="T154" s="9">
        <f t="shared" si="33"/>
        <v>7.124656190809693E-06</v>
      </c>
    </row>
    <row r="155" spans="1:20" ht="15.75" customHeight="1" thickBot="1">
      <c r="A155" s="107"/>
      <c r="B155" s="115" t="s">
        <v>360</v>
      </c>
      <c r="C155" s="161"/>
      <c r="D155" s="161"/>
      <c r="E155" s="161" t="s">
        <v>515</v>
      </c>
      <c r="F155" s="107"/>
      <c r="H155" s="371"/>
      <c r="I155" s="371"/>
      <c r="K155" s="107"/>
      <c r="L155" s="107"/>
      <c r="M155" s="107"/>
      <c r="N155" s="107"/>
      <c r="O155" s="107"/>
      <c r="P155" s="116">
        <v>51569</v>
      </c>
      <c r="Q155" s="116">
        <v>0</v>
      </c>
      <c r="R155" s="116">
        <v>0</v>
      </c>
      <c r="S155" s="107">
        <v>15000</v>
      </c>
      <c r="T155" s="163">
        <f t="shared" si="33"/>
        <v>0.0005343492143107269</v>
      </c>
    </row>
    <row r="156" spans="1:21" ht="24.75" customHeight="1" thickBot="1">
      <c r="A156" s="440" t="s">
        <v>111</v>
      </c>
      <c r="B156" s="441" t="s">
        <v>381</v>
      </c>
      <c r="C156" s="442"/>
      <c r="D156" s="442"/>
      <c r="E156" s="442"/>
      <c r="F156" s="443"/>
      <c r="G156" s="443">
        <f>G165</f>
        <v>235000</v>
      </c>
      <c r="H156" s="444"/>
      <c r="I156" s="444"/>
      <c r="J156" s="445"/>
      <c r="K156" s="443">
        <f>K165</f>
        <v>0</v>
      </c>
      <c r="L156" s="443">
        <f>L165</f>
        <v>0</v>
      </c>
      <c r="M156" s="443">
        <f>M165+M169</f>
        <v>211009</v>
      </c>
      <c r="N156" s="443">
        <f>N165+N169</f>
        <v>0</v>
      </c>
      <c r="O156" s="443">
        <f>O165+O169</f>
        <v>0</v>
      </c>
      <c r="P156" s="446">
        <f>P165+P169+P161</f>
        <v>588025</v>
      </c>
      <c r="Q156" s="446">
        <f>Q165+Q169+Q161</f>
        <v>320000</v>
      </c>
      <c r="R156" s="446">
        <f>R165+R169+R161</f>
        <v>0</v>
      </c>
      <c r="S156" s="446">
        <f>S157+S161+S165+S169</f>
        <v>2938433</v>
      </c>
      <c r="T156" s="448">
        <f t="shared" si="33"/>
        <v>0.10467662432364748</v>
      </c>
      <c r="U156" s="449"/>
    </row>
    <row r="157" spans="1:20" ht="18" customHeight="1">
      <c r="A157" s="59" t="s">
        <v>217</v>
      </c>
      <c r="B157" s="58" t="s">
        <v>334</v>
      </c>
      <c r="C157" s="372" t="s">
        <v>749</v>
      </c>
      <c r="D157" s="372"/>
      <c r="E157" s="372"/>
      <c r="F157" s="59"/>
      <c r="G157" s="59"/>
      <c r="H157" s="204"/>
      <c r="I157" s="204"/>
      <c r="J157" s="40"/>
      <c r="K157" s="59"/>
      <c r="L157" s="59"/>
      <c r="M157" s="59"/>
      <c r="N157" s="59"/>
      <c r="O157" s="59"/>
      <c r="P157" s="375"/>
      <c r="Q157" s="375"/>
      <c r="R157" s="375"/>
      <c r="S157" s="375">
        <f>S158</f>
        <v>2173488</v>
      </c>
      <c r="T157" s="374">
        <f t="shared" si="33"/>
        <v>0.07742677367425288</v>
      </c>
    </row>
    <row r="158" spans="1:20" ht="15" customHeight="1">
      <c r="A158" s="23" t="s">
        <v>320</v>
      </c>
      <c r="B158" s="32" t="s">
        <v>641</v>
      </c>
      <c r="C158" s="34"/>
      <c r="D158" s="34" t="s">
        <v>751</v>
      </c>
      <c r="E158" s="34"/>
      <c r="F158" s="23"/>
      <c r="G158" s="23"/>
      <c r="H158" s="165"/>
      <c r="I158" s="165"/>
      <c r="J158" s="146"/>
      <c r="K158" s="23"/>
      <c r="L158" s="23"/>
      <c r="M158" s="23"/>
      <c r="N158" s="23"/>
      <c r="O158" s="23"/>
      <c r="P158" s="350"/>
      <c r="Q158" s="350"/>
      <c r="R158" s="350"/>
      <c r="S158" s="350">
        <f>S159+S160</f>
        <v>2173488</v>
      </c>
      <c r="T158" s="13">
        <f t="shared" si="33"/>
        <v>0.07742677367425288</v>
      </c>
    </row>
    <row r="159" spans="1:20" ht="22.5" customHeight="1">
      <c r="A159" s="23"/>
      <c r="B159" s="14" t="s">
        <v>599</v>
      </c>
      <c r="C159" s="34"/>
      <c r="D159" s="34"/>
      <c r="E159" s="34" t="s">
        <v>325</v>
      </c>
      <c r="F159" s="23"/>
      <c r="G159" s="23"/>
      <c r="H159" s="165"/>
      <c r="I159" s="165"/>
      <c r="J159" s="146"/>
      <c r="K159" s="23"/>
      <c r="L159" s="23"/>
      <c r="M159" s="23"/>
      <c r="N159" s="23"/>
      <c r="O159" s="23"/>
      <c r="P159" s="350"/>
      <c r="Q159" s="350"/>
      <c r="R159" s="350"/>
      <c r="S159" s="350">
        <v>0</v>
      </c>
      <c r="T159" s="13">
        <f t="shared" si="33"/>
        <v>0</v>
      </c>
    </row>
    <row r="160" spans="1:20" ht="24" customHeight="1">
      <c r="A160" s="23"/>
      <c r="B160" s="14" t="s">
        <v>600</v>
      </c>
      <c r="C160" s="34"/>
      <c r="D160" s="34"/>
      <c r="E160" s="34" t="s">
        <v>601</v>
      </c>
      <c r="F160" s="23"/>
      <c r="G160" s="23"/>
      <c r="H160" s="165"/>
      <c r="I160" s="165"/>
      <c r="J160" s="146"/>
      <c r="K160" s="23"/>
      <c r="L160" s="23"/>
      <c r="M160" s="23"/>
      <c r="N160" s="23"/>
      <c r="O160" s="23"/>
      <c r="P160" s="350"/>
      <c r="Q160" s="350"/>
      <c r="R160" s="350"/>
      <c r="S160" s="350">
        <v>2173488</v>
      </c>
      <c r="T160" s="13">
        <f>S160/$S$400</f>
        <v>0.07742677367425288</v>
      </c>
    </row>
    <row r="161" spans="1:20" ht="18" customHeight="1">
      <c r="A161" s="10" t="s">
        <v>218</v>
      </c>
      <c r="B161" s="7" t="s">
        <v>357</v>
      </c>
      <c r="C161" s="30" t="s">
        <v>778</v>
      </c>
      <c r="D161" s="30"/>
      <c r="E161" s="30"/>
      <c r="F161" s="10"/>
      <c r="G161" s="10"/>
      <c r="H161" s="148"/>
      <c r="I161" s="148"/>
      <c r="J161" s="40"/>
      <c r="K161" s="10"/>
      <c r="L161" s="10"/>
      <c r="M161" s="10"/>
      <c r="N161" s="10"/>
      <c r="O161" s="10"/>
      <c r="P161" s="342">
        <f aca="true" t="shared" si="37" ref="P161:S162">P162</f>
        <v>50000</v>
      </c>
      <c r="Q161" s="342">
        <f t="shared" si="37"/>
        <v>20000</v>
      </c>
      <c r="R161" s="342">
        <f t="shared" si="37"/>
        <v>0</v>
      </c>
      <c r="S161" s="342">
        <f t="shared" si="37"/>
        <v>178557</v>
      </c>
      <c r="T161" s="13">
        <f t="shared" si="33"/>
        <v>0.006360786177312031</v>
      </c>
    </row>
    <row r="162" spans="1:20" ht="15.75" customHeight="1">
      <c r="A162" s="23" t="s">
        <v>320</v>
      </c>
      <c r="B162" s="32" t="s">
        <v>790</v>
      </c>
      <c r="C162" s="30"/>
      <c r="D162" s="30" t="s">
        <v>789</v>
      </c>
      <c r="E162" s="30"/>
      <c r="F162" s="10"/>
      <c r="G162" s="10"/>
      <c r="H162" s="148"/>
      <c r="I162" s="148"/>
      <c r="J162" s="40"/>
      <c r="K162" s="10"/>
      <c r="L162" s="10"/>
      <c r="M162" s="10"/>
      <c r="N162" s="10"/>
      <c r="O162" s="10"/>
      <c r="P162" s="342">
        <f t="shared" si="37"/>
        <v>50000</v>
      </c>
      <c r="Q162" s="342">
        <f t="shared" si="37"/>
        <v>20000</v>
      </c>
      <c r="R162" s="342">
        <f t="shared" si="37"/>
        <v>0</v>
      </c>
      <c r="S162" s="342">
        <f>S163+S164</f>
        <v>178557</v>
      </c>
      <c r="T162" s="13">
        <f t="shared" si="33"/>
        <v>0.006360786177312031</v>
      </c>
    </row>
    <row r="163" spans="1:20" ht="24" customHeight="1">
      <c r="A163" s="23"/>
      <c r="B163" s="32" t="s">
        <v>602</v>
      </c>
      <c r="C163" s="34"/>
      <c r="D163" s="34"/>
      <c r="E163" s="34" t="s">
        <v>603</v>
      </c>
      <c r="F163" s="23"/>
      <c r="G163" s="23"/>
      <c r="H163" s="165"/>
      <c r="I163" s="165"/>
      <c r="J163" s="146"/>
      <c r="K163" s="23"/>
      <c r="L163" s="23"/>
      <c r="M163" s="23"/>
      <c r="N163" s="23"/>
      <c r="O163" s="23"/>
      <c r="P163" s="350">
        <v>50000</v>
      </c>
      <c r="Q163" s="350">
        <v>20000</v>
      </c>
      <c r="R163" s="350">
        <v>0</v>
      </c>
      <c r="S163" s="11">
        <v>0</v>
      </c>
      <c r="T163" s="9">
        <f t="shared" si="33"/>
        <v>0</v>
      </c>
    </row>
    <row r="164" spans="1:20" ht="24" customHeight="1">
      <c r="A164" s="23"/>
      <c r="B164" s="32" t="s">
        <v>604</v>
      </c>
      <c r="C164" s="34"/>
      <c r="D164" s="34"/>
      <c r="E164" s="34" t="s">
        <v>601</v>
      </c>
      <c r="F164" s="23"/>
      <c r="G164" s="23"/>
      <c r="H164" s="165"/>
      <c r="I164" s="165"/>
      <c r="J164" s="146"/>
      <c r="K164" s="23"/>
      <c r="L164" s="23"/>
      <c r="M164" s="23"/>
      <c r="N164" s="23"/>
      <c r="O164" s="23"/>
      <c r="P164" s="350"/>
      <c r="Q164" s="350"/>
      <c r="R164" s="350"/>
      <c r="S164" s="263">
        <v>178557</v>
      </c>
      <c r="T164" s="9">
        <f>S164/$S$400</f>
        <v>0.006360786177312031</v>
      </c>
    </row>
    <row r="165" spans="1:20" ht="15" customHeight="1">
      <c r="A165" s="10" t="s">
        <v>220</v>
      </c>
      <c r="B165" s="7" t="s">
        <v>402</v>
      </c>
      <c r="C165" s="30" t="s">
        <v>745</v>
      </c>
      <c r="D165" s="30"/>
      <c r="E165" s="30"/>
      <c r="F165" s="10"/>
      <c r="G165" s="10">
        <f>G166</f>
        <v>235000</v>
      </c>
      <c r="H165" s="148"/>
      <c r="I165" s="148"/>
      <c r="J165" s="40"/>
      <c r="K165" s="10">
        <f>K166</f>
        <v>0</v>
      </c>
      <c r="L165" s="10">
        <f>L166</f>
        <v>0</v>
      </c>
      <c r="M165" s="10">
        <f aca="true" t="shared" si="38" ref="M165:S166">M166</f>
        <v>11009</v>
      </c>
      <c r="N165" s="10">
        <f t="shared" si="38"/>
        <v>0</v>
      </c>
      <c r="O165" s="10">
        <f t="shared" si="38"/>
        <v>0</v>
      </c>
      <c r="P165" s="342">
        <f t="shared" si="38"/>
        <v>83025</v>
      </c>
      <c r="Q165" s="342">
        <f t="shared" si="38"/>
        <v>0</v>
      </c>
      <c r="R165" s="342">
        <f t="shared" si="38"/>
        <v>0</v>
      </c>
      <c r="S165" s="342">
        <f t="shared" si="38"/>
        <v>136388</v>
      </c>
      <c r="T165" s="13">
        <f t="shared" si="33"/>
        <v>0.004858588042760762</v>
      </c>
    </row>
    <row r="166" spans="1:20" ht="15.75" customHeight="1">
      <c r="A166" s="11" t="s">
        <v>320</v>
      </c>
      <c r="B166" s="14" t="s">
        <v>490</v>
      </c>
      <c r="C166" s="21"/>
      <c r="D166" s="30" t="s">
        <v>491</v>
      </c>
      <c r="E166" s="30"/>
      <c r="F166" s="10"/>
      <c r="G166" s="10">
        <v>235000</v>
      </c>
      <c r="H166" s="148"/>
      <c r="I166" s="148"/>
      <c r="J166" s="40"/>
      <c r="K166" s="10">
        <f>K167</f>
        <v>0</v>
      </c>
      <c r="L166" s="10">
        <f>L167</f>
        <v>0</v>
      </c>
      <c r="M166" s="10">
        <f t="shared" si="38"/>
        <v>11009</v>
      </c>
      <c r="N166" s="10">
        <f t="shared" si="38"/>
        <v>0</v>
      </c>
      <c r="O166" s="10">
        <f t="shared" si="38"/>
        <v>0</v>
      </c>
      <c r="P166" s="342">
        <f t="shared" si="38"/>
        <v>83025</v>
      </c>
      <c r="Q166" s="342">
        <f t="shared" si="38"/>
        <v>0</v>
      </c>
      <c r="R166" s="342">
        <f t="shared" si="38"/>
        <v>0</v>
      </c>
      <c r="S166" s="342">
        <f t="shared" si="38"/>
        <v>136388</v>
      </c>
      <c r="T166" s="13">
        <f t="shared" si="33"/>
        <v>0.004858588042760762</v>
      </c>
    </row>
    <row r="167" spans="1:20" ht="22.5" customHeight="1">
      <c r="A167" s="11"/>
      <c r="B167" s="14" t="s">
        <v>598</v>
      </c>
      <c r="C167" s="21"/>
      <c r="D167" s="21"/>
      <c r="E167" s="21" t="s">
        <v>519</v>
      </c>
      <c r="F167" s="11"/>
      <c r="G167" s="11">
        <v>235000</v>
      </c>
      <c r="H167" s="154"/>
      <c r="I167" s="154"/>
      <c r="K167" s="11">
        <v>0</v>
      </c>
      <c r="L167" s="11">
        <v>0</v>
      </c>
      <c r="M167" s="11">
        <v>11009</v>
      </c>
      <c r="N167" s="11">
        <v>0</v>
      </c>
      <c r="O167" s="11">
        <v>0</v>
      </c>
      <c r="P167" s="263">
        <v>83025</v>
      </c>
      <c r="Q167" s="263">
        <v>0</v>
      </c>
      <c r="R167" s="263">
        <v>0</v>
      </c>
      <c r="S167" s="11">
        <v>136388</v>
      </c>
      <c r="T167" s="9">
        <f t="shared" si="33"/>
        <v>0.004858588042760762</v>
      </c>
    </row>
    <row r="168" spans="1:20" ht="18" customHeight="1" hidden="1">
      <c r="A168" s="11"/>
      <c r="B168" s="14" t="s">
        <v>382</v>
      </c>
      <c r="C168" s="21"/>
      <c r="D168" s="21"/>
      <c r="E168" s="21" t="s">
        <v>383</v>
      </c>
      <c r="F168" s="11"/>
      <c r="G168" s="11"/>
      <c r="H168" s="154"/>
      <c r="I168" s="154"/>
      <c r="K168" s="11"/>
      <c r="L168" s="11"/>
      <c r="M168" s="11">
        <v>0</v>
      </c>
      <c r="N168" s="11"/>
      <c r="O168" s="11"/>
      <c r="P168" s="263"/>
      <c r="Q168" s="263"/>
      <c r="R168" s="263"/>
      <c r="S168" s="11"/>
      <c r="T168" s="9">
        <f t="shared" si="33"/>
        <v>0</v>
      </c>
    </row>
    <row r="169" spans="1:20" ht="18" customHeight="1">
      <c r="A169" s="10" t="s">
        <v>222</v>
      </c>
      <c r="B169" s="7" t="s">
        <v>379</v>
      </c>
      <c r="C169" s="30" t="s">
        <v>54</v>
      </c>
      <c r="D169" s="30"/>
      <c r="E169" s="30"/>
      <c r="F169" s="10"/>
      <c r="G169" s="10"/>
      <c r="H169" s="148"/>
      <c r="I169" s="148"/>
      <c r="J169" s="40"/>
      <c r="K169" s="10"/>
      <c r="L169" s="10"/>
      <c r="M169" s="10">
        <f aca="true" t="shared" si="39" ref="M169:S170">M170</f>
        <v>200000</v>
      </c>
      <c r="N169" s="10">
        <f t="shared" si="39"/>
        <v>0</v>
      </c>
      <c r="O169" s="10">
        <f t="shared" si="39"/>
        <v>0</v>
      </c>
      <c r="P169" s="342">
        <f t="shared" si="39"/>
        <v>455000</v>
      </c>
      <c r="Q169" s="342">
        <f t="shared" si="39"/>
        <v>300000</v>
      </c>
      <c r="R169" s="342">
        <f t="shared" si="39"/>
        <v>0</v>
      </c>
      <c r="S169" s="342">
        <f t="shared" si="39"/>
        <v>450000</v>
      </c>
      <c r="T169" s="13">
        <f t="shared" si="33"/>
        <v>0.01603047642932181</v>
      </c>
    </row>
    <row r="170" spans="1:20" ht="15" customHeight="1">
      <c r="A170" s="11" t="s">
        <v>320</v>
      </c>
      <c r="B170" s="14" t="s">
        <v>63</v>
      </c>
      <c r="C170" s="21"/>
      <c r="D170" s="30" t="s">
        <v>62</v>
      </c>
      <c r="E170" s="30"/>
      <c r="F170" s="10"/>
      <c r="G170" s="10"/>
      <c r="H170" s="148"/>
      <c r="I170" s="148"/>
      <c r="J170" s="40"/>
      <c r="K170" s="10"/>
      <c r="L170" s="10"/>
      <c r="M170" s="10">
        <f t="shared" si="39"/>
        <v>200000</v>
      </c>
      <c r="N170" s="10">
        <f t="shared" si="39"/>
        <v>0</v>
      </c>
      <c r="O170" s="10">
        <f t="shared" si="39"/>
        <v>0</v>
      </c>
      <c r="P170" s="342">
        <f t="shared" si="39"/>
        <v>455000</v>
      </c>
      <c r="Q170" s="342">
        <f t="shared" si="39"/>
        <v>300000</v>
      </c>
      <c r="R170" s="342">
        <f t="shared" si="39"/>
        <v>0</v>
      </c>
      <c r="S170" s="342">
        <f t="shared" si="39"/>
        <v>450000</v>
      </c>
      <c r="T170" s="13">
        <f t="shared" si="33"/>
        <v>0.01603047642932181</v>
      </c>
    </row>
    <row r="171" spans="1:20" ht="23.25" customHeight="1" thickBot="1">
      <c r="A171" s="11"/>
      <c r="B171" s="14" t="s">
        <v>606</v>
      </c>
      <c r="C171" s="21"/>
      <c r="D171" s="21"/>
      <c r="E171" s="21" t="s">
        <v>601</v>
      </c>
      <c r="F171" s="11"/>
      <c r="G171" s="11"/>
      <c r="H171" s="154"/>
      <c r="I171" s="154"/>
      <c r="K171" s="11"/>
      <c r="L171" s="11"/>
      <c r="M171" s="11">
        <v>200000</v>
      </c>
      <c r="N171" s="11">
        <v>0</v>
      </c>
      <c r="O171" s="11">
        <v>0</v>
      </c>
      <c r="P171" s="263">
        <v>455000</v>
      </c>
      <c r="Q171" s="263">
        <v>300000</v>
      </c>
      <c r="R171" s="263">
        <v>0</v>
      </c>
      <c r="S171" s="11">
        <v>450000</v>
      </c>
      <c r="T171" s="9">
        <f t="shared" si="33"/>
        <v>0.01603047642932181</v>
      </c>
    </row>
    <row r="172" spans="1:20" ht="68.25" customHeight="1" hidden="1">
      <c r="A172" s="86" t="s">
        <v>215</v>
      </c>
      <c r="B172" s="7" t="s">
        <v>384</v>
      </c>
      <c r="C172" s="86"/>
      <c r="D172" s="86"/>
      <c r="E172" s="86"/>
      <c r="F172" s="12">
        <f>F176</f>
        <v>1523330</v>
      </c>
      <c r="G172" s="155">
        <f>G176+G173</f>
        <v>12000</v>
      </c>
      <c r="H172" s="148">
        <f>IF(F172&gt;0,G172/F172*100,"")</f>
        <v>0.7877478944155238</v>
      </c>
      <c r="I172" s="13" t="e">
        <f>F172/F400</f>
        <v>#REF!</v>
      </c>
      <c r="J172" s="40"/>
      <c r="K172" s="10">
        <f>K176+K173</f>
        <v>0</v>
      </c>
      <c r="L172" s="10">
        <f>L176+L173</f>
        <v>0</v>
      </c>
      <c r="M172" s="10">
        <f aca="true" t="shared" si="40" ref="M172:R172">M173+M176</f>
        <v>93468</v>
      </c>
      <c r="N172" s="10">
        <f t="shared" si="40"/>
        <v>0</v>
      </c>
      <c r="O172" s="10">
        <f t="shared" si="40"/>
        <v>0</v>
      </c>
      <c r="P172" s="342">
        <f t="shared" si="40"/>
        <v>0</v>
      </c>
      <c r="Q172" s="342">
        <f t="shared" si="40"/>
        <v>0</v>
      </c>
      <c r="R172" s="342">
        <f t="shared" si="40"/>
        <v>0</v>
      </c>
      <c r="S172" s="11"/>
      <c r="T172" s="9">
        <f t="shared" si="33"/>
        <v>0</v>
      </c>
    </row>
    <row r="173" spans="1:20" ht="21.75" customHeight="1" hidden="1">
      <c r="A173" s="167" t="s">
        <v>217</v>
      </c>
      <c r="B173" s="168" t="s">
        <v>334</v>
      </c>
      <c r="C173" s="167">
        <v>600</v>
      </c>
      <c r="D173" s="167"/>
      <c r="E173" s="167"/>
      <c r="F173" s="12"/>
      <c r="G173" s="155">
        <f>G174</f>
        <v>10000</v>
      </c>
      <c r="H173" s="148"/>
      <c r="I173" s="13"/>
      <c r="J173" s="40"/>
      <c r="K173" s="10">
        <f aca="true" t="shared" si="41" ref="K173:M174">K174</f>
        <v>0</v>
      </c>
      <c r="L173" s="10">
        <f t="shared" si="41"/>
        <v>0</v>
      </c>
      <c r="M173" s="10">
        <f t="shared" si="41"/>
        <v>60468</v>
      </c>
      <c r="N173" s="10">
        <f aca="true" t="shared" si="42" ref="N173:R174">N174</f>
        <v>0</v>
      </c>
      <c r="O173" s="10">
        <f t="shared" si="42"/>
        <v>0</v>
      </c>
      <c r="P173" s="342">
        <f t="shared" si="42"/>
        <v>0</v>
      </c>
      <c r="Q173" s="342">
        <f t="shared" si="42"/>
        <v>0</v>
      </c>
      <c r="R173" s="342">
        <f t="shared" si="42"/>
        <v>0</v>
      </c>
      <c r="S173" s="11"/>
      <c r="T173" s="9">
        <f t="shared" si="33"/>
        <v>0</v>
      </c>
    </row>
    <row r="174" spans="1:20" ht="21" customHeight="1" hidden="1">
      <c r="A174" s="25" t="s">
        <v>320</v>
      </c>
      <c r="B174" s="32" t="s">
        <v>335</v>
      </c>
      <c r="C174" s="25"/>
      <c r="D174" s="86">
        <v>60014</v>
      </c>
      <c r="E174" s="86"/>
      <c r="F174" s="12"/>
      <c r="G174" s="155">
        <f>G175</f>
        <v>10000</v>
      </c>
      <c r="H174" s="148"/>
      <c r="I174" s="13"/>
      <c r="J174" s="40"/>
      <c r="K174" s="10">
        <f t="shared" si="41"/>
        <v>0</v>
      </c>
      <c r="L174" s="10">
        <f t="shared" si="41"/>
        <v>0</v>
      </c>
      <c r="M174" s="10">
        <f t="shared" si="41"/>
        <v>60468</v>
      </c>
      <c r="N174" s="10">
        <f t="shared" si="42"/>
        <v>0</v>
      </c>
      <c r="O174" s="10">
        <f t="shared" si="42"/>
        <v>0</v>
      </c>
      <c r="P174" s="342">
        <f t="shared" si="42"/>
        <v>0</v>
      </c>
      <c r="Q174" s="342">
        <f t="shared" si="42"/>
        <v>0</v>
      </c>
      <c r="R174" s="342">
        <f t="shared" si="42"/>
        <v>0</v>
      </c>
      <c r="S174" s="11"/>
      <c r="T174" s="9">
        <f t="shared" si="33"/>
        <v>0</v>
      </c>
    </row>
    <row r="175" spans="1:20" ht="37.5" customHeight="1" hidden="1">
      <c r="A175" s="25"/>
      <c r="B175" s="169" t="s">
        <v>385</v>
      </c>
      <c r="C175" s="170"/>
      <c r="D175" s="170"/>
      <c r="E175" s="170">
        <v>232</v>
      </c>
      <c r="F175" s="171"/>
      <c r="G175" s="172">
        <v>10000</v>
      </c>
      <c r="H175" s="173"/>
      <c r="I175" s="174"/>
      <c r="J175" s="146"/>
      <c r="K175" s="175">
        <v>0</v>
      </c>
      <c r="L175" s="175">
        <v>0</v>
      </c>
      <c r="M175" s="107">
        <v>60468</v>
      </c>
      <c r="N175" s="107">
        <v>0</v>
      </c>
      <c r="O175" s="107">
        <v>0</v>
      </c>
      <c r="P175" s="263"/>
      <c r="Q175" s="263"/>
      <c r="R175" s="263"/>
      <c r="S175" s="11"/>
      <c r="T175" s="9">
        <f t="shared" si="33"/>
        <v>0</v>
      </c>
    </row>
    <row r="176" spans="1:20" ht="25.5" customHeight="1" hidden="1">
      <c r="A176" s="60" t="s">
        <v>218</v>
      </c>
      <c r="B176" s="176" t="s">
        <v>386</v>
      </c>
      <c r="C176" s="86">
        <v>754</v>
      </c>
      <c r="D176" s="86"/>
      <c r="E176" s="86"/>
      <c r="F176" s="12">
        <f>F177</f>
        <v>1523330</v>
      </c>
      <c r="G176" s="155">
        <f>G177</f>
        <v>2000</v>
      </c>
      <c r="H176" s="148">
        <f>IF(F176&gt;0,G176/F176*100,"")</f>
        <v>0.13129131573592065</v>
      </c>
      <c r="I176" s="13" t="e">
        <f>F176/F400</f>
        <v>#REF!</v>
      </c>
      <c r="J176" s="177"/>
      <c r="K176" s="10">
        <f aca="true" t="shared" si="43" ref="K176:M177">K177</f>
        <v>0</v>
      </c>
      <c r="L176" s="10">
        <f t="shared" si="43"/>
        <v>0</v>
      </c>
      <c r="M176" s="10">
        <f aca="true" t="shared" si="44" ref="M176:R176">M177+M179</f>
        <v>33000</v>
      </c>
      <c r="N176" s="10">
        <f t="shared" si="44"/>
        <v>0</v>
      </c>
      <c r="O176" s="10">
        <f t="shared" si="44"/>
        <v>0</v>
      </c>
      <c r="P176" s="342">
        <f t="shared" si="44"/>
        <v>0</v>
      </c>
      <c r="Q176" s="342">
        <f t="shared" si="44"/>
        <v>0</v>
      </c>
      <c r="R176" s="342">
        <f t="shared" si="44"/>
        <v>0</v>
      </c>
      <c r="S176" s="11"/>
      <c r="T176" s="9">
        <f t="shared" si="33"/>
        <v>0</v>
      </c>
    </row>
    <row r="177" spans="1:20" ht="18.75" customHeight="1" hidden="1">
      <c r="A177" s="27" t="s">
        <v>320</v>
      </c>
      <c r="B177" s="7" t="s">
        <v>387</v>
      </c>
      <c r="C177" s="36"/>
      <c r="D177" s="86">
        <v>75405</v>
      </c>
      <c r="E177" s="86"/>
      <c r="F177" s="12">
        <f>F178</f>
        <v>1523330</v>
      </c>
      <c r="G177" s="155">
        <f>G178</f>
        <v>2000</v>
      </c>
      <c r="H177" s="148">
        <f>IF(F177&gt;0,G177/F177*100,"")</f>
        <v>0.13129131573592065</v>
      </c>
      <c r="I177" s="13" t="e">
        <f>F177/F400</f>
        <v>#REF!</v>
      </c>
      <c r="J177" s="181"/>
      <c r="K177" s="10">
        <f t="shared" si="43"/>
        <v>0</v>
      </c>
      <c r="L177" s="10">
        <f t="shared" si="43"/>
        <v>0</v>
      </c>
      <c r="M177" s="10">
        <f t="shared" si="43"/>
        <v>22000</v>
      </c>
      <c r="N177" s="10">
        <f>N178</f>
        <v>0</v>
      </c>
      <c r="O177" s="10">
        <f>O178</f>
        <v>0</v>
      </c>
      <c r="P177" s="342">
        <f>P178</f>
        <v>0</v>
      </c>
      <c r="Q177" s="342">
        <f>Q178</f>
        <v>0</v>
      </c>
      <c r="R177" s="342">
        <f>R178</f>
        <v>0</v>
      </c>
      <c r="S177" s="11"/>
      <c r="T177" s="9">
        <f t="shared" si="33"/>
        <v>0</v>
      </c>
    </row>
    <row r="178" spans="1:20" ht="41.25" customHeight="1" hidden="1">
      <c r="A178" s="22"/>
      <c r="B178" s="32" t="s">
        <v>388</v>
      </c>
      <c r="C178" s="36"/>
      <c r="D178" s="36"/>
      <c r="E178" s="36">
        <v>231</v>
      </c>
      <c r="F178" s="8">
        <v>1523330</v>
      </c>
      <c r="G178" s="156">
        <v>2000</v>
      </c>
      <c r="H178" s="154">
        <f>IF(F178&gt;0,G178/F178*100,"")</f>
        <v>0.13129131573592065</v>
      </c>
      <c r="I178" s="9" t="e">
        <f>F178/F400</f>
        <v>#REF!</v>
      </c>
      <c r="J178" s="45"/>
      <c r="K178" s="11">
        <v>0</v>
      </c>
      <c r="L178" s="11">
        <v>0</v>
      </c>
      <c r="M178" s="11">
        <v>22000</v>
      </c>
      <c r="N178" s="11">
        <v>0</v>
      </c>
      <c r="O178" s="11">
        <v>0</v>
      </c>
      <c r="P178" s="263">
        <v>0</v>
      </c>
      <c r="Q178" s="263">
        <v>0</v>
      </c>
      <c r="R178" s="263">
        <v>0</v>
      </c>
      <c r="S178" s="11"/>
      <c r="T178" s="9">
        <f aca="true" t="shared" si="45" ref="T178:T211">S178/$S$400</f>
        <v>0</v>
      </c>
    </row>
    <row r="179" spans="1:20" ht="15" customHeight="1" hidden="1">
      <c r="A179" s="24" t="s">
        <v>330</v>
      </c>
      <c r="B179" s="7" t="s">
        <v>444</v>
      </c>
      <c r="C179" s="178"/>
      <c r="D179" s="179">
        <v>75411</v>
      </c>
      <c r="E179" s="179"/>
      <c r="F179" s="180"/>
      <c r="G179" s="155"/>
      <c r="H179" s="148"/>
      <c r="I179" s="149"/>
      <c r="J179" s="181"/>
      <c r="K179" s="10"/>
      <c r="L179" s="10"/>
      <c r="M179" s="10">
        <f aca="true" t="shared" si="46" ref="M179:R179">M180</f>
        <v>11000</v>
      </c>
      <c r="N179" s="10">
        <f t="shared" si="46"/>
        <v>0</v>
      </c>
      <c r="O179" s="10">
        <f t="shared" si="46"/>
        <v>0</v>
      </c>
      <c r="P179" s="342">
        <f t="shared" si="46"/>
        <v>0</v>
      </c>
      <c r="Q179" s="342">
        <f t="shared" si="46"/>
        <v>0</v>
      </c>
      <c r="R179" s="342">
        <f t="shared" si="46"/>
        <v>0</v>
      </c>
      <c r="S179" s="11"/>
      <c r="T179" s="9">
        <f t="shared" si="45"/>
        <v>0</v>
      </c>
    </row>
    <row r="180" spans="1:20" ht="45" customHeight="1" hidden="1">
      <c r="A180" s="22"/>
      <c r="B180" s="32" t="s">
        <v>388</v>
      </c>
      <c r="C180" s="178"/>
      <c r="D180" s="184"/>
      <c r="E180" s="184">
        <v>231</v>
      </c>
      <c r="F180" s="185"/>
      <c r="G180" s="156"/>
      <c r="H180" s="154"/>
      <c r="I180" s="186"/>
      <c r="J180" s="45"/>
      <c r="K180" s="11"/>
      <c r="L180" s="11"/>
      <c r="M180" s="11">
        <v>11000</v>
      </c>
      <c r="N180" s="11">
        <v>0</v>
      </c>
      <c r="O180" s="11">
        <v>0</v>
      </c>
      <c r="P180" s="263">
        <v>0</v>
      </c>
      <c r="Q180" s="263">
        <v>0</v>
      </c>
      <c r="R180" s="263">
        <v>0</v>
      </c>
      <c r="S180" s="11"/>
      <c r="T180" s="9">
        <f t="shared" si="45"/>
        <v>0</v>
      </c>
    </row>
    <row r="181" spans="1:20" ht="54.75" customHeight="1" hidden="1">
      <c r="A181" s="22" t="s">
        <v>236</v>
      </c>
      <c r="B181" s="7" t="s">
        <v>398</v>
      </c>
      <c r="C181" s="178"/>
      <c r="D181" s="179"/>
      <c r="E181" s="179"/>
      <c r="F181" s="180"/>
      <c r="G181" s="155">
        <f>G182+G185</f>
        <v>66010</v>
      </c>
      <c r="H181" s="148"/>
      <c r="I181" s="149"/>
      <c r="J181" s="181"/>
      <c r="K181" s="10">
        <f aca="true" t="shared" si="47" ref="K181:P181">K182+K185</f>
        <v>200000</v>
      </c>
      <c r="L181" s="10">
        <f t="shared" si="47"/>
        <v>0</v>
      </c>
      <c r="M181" s="10">
        <f t="shared" si="47"/>
        <v>75000</v>
      </c>
      <c r="N181" s="10">
        <f t="shared" si="47"/>
        <v>0</v>
      </c>
      <c r="O181" s="10">
        <f t="shared" si="47"/>
        <v>0</v>
      </c>
      <c r="P181" s="342">
        <f t="shared" si="47"/>
        <v>0</v>
      </c>
      <c r="Q181" s="342">
        <f>Q182+Q185</f>
        <v>0</v>
      </c>
      <c r="R181" s="342">
        <f>R182+R185</f>
        <v>0</v>
      </c>
      <c r="S181" s="11"/>
      <c r="T181" s="9">
        <f t="shared" si="45"/>
        <v>0</v>
      </c>
    </row>
    <row r="182" spans="1:20" ht="17.25" customHeight="1" hidden="1">
      <c r="A182" s="22" t="s">
        <v>217</v>
      </c>
      <c r="B182" s="182" t="s">
        <v>334</v>
      </c>
      <c r="C182" s="86">
        <v>600</v>
      </c>
      <c r="D182" s="179"/>
      <c r="E182" s="179"/>
      <c r="F182" s="180"/>
      <c r="G182" s="155">
        <f>G183</f>
        <v>66010</v>
      </c>
      <c r="H182" s="148"/>
      <c r="I182" s="149"/>
      <c r="J182" s="181"/>
      <c r="K182" s="10">
        <f aca="true" t="shared" si="48" ref="K182:M183">K183</f>
        <v>0</v>
      </c>
      <c r="L182" s="10">
        <f t="shared" si="48"/>
        <v>0</v>
      </c>
      <c r="M182" s="10">
        <f t="shared" si="48"/>
        <v>75000</v>
      </c>
      <c r="N182" s="10">
        <f aca="true" t="shared" si="49" ref="N182:R183">N183</f>
        <v>0</v>
      </c>
      <c r="O182" s="10">
        <f t="shared" si="49"/>
        <v>0</v>
      </c>
      <c r="P182" s="342">
        <f t="shared" si="49"/>
        <v>0</v>
      </c>
      <c r="Q182" s="342">
        <f t="shared" si="49"/>
        <v>0</v>
      </c>
      <c r="R182" s="342">
        <f t="shared" si="49"/>
        <v>0</v>
      </c>
      <c r="S182" s="11"/>
      <c r="T182" s="9">
        <f t="shared" si="45"/>
        <v>0</v>
      </c>
    </row>
    <row r="183" spans="1:20" ht="23.25" customHeight="1" hidden="1">
      <c r="A183" s="22" t="s">
        <v>320</v>
      </c>
      <c r="B183" s="32" t="s">
        <v>335</v>
      </c>
      <c r="C183" s="178"/>
      <c r="D183" s="179">
        <v>60014</v>
      </c>
      <c r="E183" s="179"/>
      <c r="F183" s="180"/>
      <c r="G183" s="155">
        <f>G184</f>
        <v>66010</v>
      </c>
      <c r="H183" s="148"/>
      <c r="I183" s="149"/>
      <c r="J183" s="181"/>
      <c r="K183" s="10">
        <f t="shared" si="48"/>
        <v>0</v>
      </c>
      <c r="L183" s="10">
        <f t="shared" si="48"/>
        <v>0</v>
      </c>
      <c r="M183" s="10">
        <f t="shared" si="48"/>
        <v>75000</v>
      </c>
      <c r="N183" s="10">
        <f t="shared" si="49"/>
        <v>0</v>
      </c>
      <c r="O183" s="10">
        <f t="shared" si="49"/>
        <v>0</v>
      </c>
      <c r="P183" s="342">
        <f t="shared" si="49"/>
        <v>0</v>
      </c>
      <c r="Q183" s="342">
        <f t="shared" si="49"/>
        <v>0</v>
      </c>
      <c r="R183" s="342">
        <f t="shared" si="49"/>
        <v>0</v>
      </c>
      <c r="S183" s="11"/>
      <c r="T183" s="9">
        <f t="shared" si="45"/>
        <v>0</v>
      </c>
    </row>
    <row r="184" spans="1:20" ht="21" customHeight="1" hidden="1">
      <c r="A184" s="22"/>
      <c r="B184" s="32" t="s">
        <v>399</v>
      </c>
      <c r="C184" s="178"/>
      <c r="D184" s="184"/>
      <c r="E184" s="184">
        <v>661</v>
      </c>
      <c r="F184" s="185"/>
      <c r="G184" s="156">
        <v>66010</v>
      </c>
      <c r="H184" s="154"/>
      <c r="I184" s="186"/>
      <c r="J184" s="45"/>
      <c r="K184" s="11">
        <v>0</v>
      </c>
      <c r="L184" s="11">
        <v>0</v>
      </c>
      <c r="M184" s="11">
        <v>75000</v>
      </c>
      <c r="N184" s="11">
        <v>0</v>
      </c>
      <c r="O184" s="11">
        <v>0</v>
      </c>
      <c r="P184" s="263">
        <v>0</v>
      </c>
      <c r="Q184" s="263">
        <v>0</v>
      </c>
      <c r="R184" s="263">
        <v>0</v>
      </c>
      <c r="S184" s="11"/>
      <c r="T184" s="9">
        <f t="shared" si="45"/>
        <v>0</v>
      </c>
    </row>
    <row r="185" spans="1:20" ht="21.75" customHeight="1" hidden="1">
      <c r="A185" s="22">
        <v>2</v>
      </c>
      <c r="B185" s="7" t="s">
        <v>373</v>
      </c>
      <c r="C185" s="183">
        <v>851</v>
      </c>
      <c r="D185" s="179"/>
      <c r="E185" s="179"/>
      <c r="F185" s="180"/>
      <c r="G185" s="155">
        <f>G186</f>
        <v>0</v>
      </c>
      <c r="H185" s="148"/>
      <c r="I185" s="149"/>
      <c r="J185" s="181"/>
      <c r="K185" s="10">
        <f>K186</f>
        <v>200000</v>
      </c>
      <c r="L185" s="10">
        <f>L186</f>
        <v>0</v>
      </c>
      <c r="M185" s="10">
        <f>M186</f>
        <v>0</v>
      </c>
      <c r="N185" s="10">
        <f>N186</f>
        <v>0</v>
      </c>
      <c r="O185" s="10">
        <f>O186</f>
        <v>0</v>
      </c>
      <c r="P185" s="263"/>
      <c r="Q185" s="263"/>
      <c r="R185" s="263"/>
      <c r="S185" s="11"/>
      <c r="T185" s="9">
        <f t="shared" si="45"/>
        <v>0</v>
      </c>
    </row>
    <row r="186" spans="1:20" ht="26.25" customHeight="1" hidden="1">
      <c r="A186" s="87" t="s">
        <v>320</v>
      </c>
      <c r="B186" s="169" t="s">
        <v>942</v>
      </c>
      <c r="C186" s="390"/>
      <c r="D186" s="354">
        <v>85111</v>
      </c>
      <c r="E186" s="354"/>
      <c r="F186" s="355"/>
      <c r="G186" s="201">
        <f>G213</f>
        <v>0</v>
      </c>
      <c r="H186" s="203"/>
      <c r="I186" s="356"/>
      <c r="J186" s="181"/>
      <c r="K186" s="135">
        <f>K213</f>
        <v>200000</v>
      </c>
      <c r="L186" s="135">
        <f>L213</f>
        <v>0</v>
      </c>
      <c r="M186" s="135">
        <f>M213</f>
        <v>0</v>
      </c>
      <c r="N186" s="135">
        <f>N213</f>
        <v>0</v>
      </c>
      <c r="O186" s="135">
        <f>O213</f>
        <v>0</v>
      </c>
      <c r="P186" s="116"/>
      <c r="Q186" s="116"/>
      <c r="R186" s="116"/>
      <c r="S186" s="107"/>
      <c r="T186" s="163">
        <f t="shared" si="45"/>
        <v>0</v>
      </c>
    </row>
    <row r="187" spans="1:20" ht="31.5" customHeight="1" hidden="1" thickBot="1">
      <c r="A187" s="391" t="s">
        <v>215</v>
      </c>
      <c r="B187" s="405" t="s">
        <v>607</v>
      </c>
      <c r="C187" s="392"/>
      <c r="D187" s="393"/>
      <c r="E187" s="393"/>
      <c r="F187" s="394"/>
      <c r="G187" s="395"/>
      <c r="H187" s="376"/>
      <c r="I187" s="388"/>
      <c r="J187" s="231"/>
      <c r="K187" s="117"/>
      <c r="L187" s="117"/>
      <c r="M187" s="117"/>
      <c r="N187" s="117"/>
      <c r="O187" s="117"/>
      <c r="P187" s="108">
        <f>P192+P188</f>
        <v>144390</v>
      </c>
      <c r="Q187" s="108">
        <f>Q192+Q188</f>
        <v>0</v>
      </c>
      <c r="R187" s="108">
        <f>R192+R188</f>
        <v>0</v>
      </c>
      <c r="S187" s="108">
        <f>S192+S188</f>
        <v>0</v>
      </c>
      <c r="T187" s="377">
        <f t="shared" si="45"/>
        <v>0</v>
      </c>
    </row>
    <row r="188" spans="1:20" ht="22.5" customHeight="1" hidden="1">
      <c r="A188" s="60" t="s">
        <v>320</v>
      </c>
      <c r="B188" s="58" t="s">
        <v>334</v>
      </c>
      <c r="C188" s="183">
        <v>600</v>
      </c>
      <c r="D188" s="179"/>
      <c r="E188" s="179"/>
      <c r="F188" s="180"/>
      <c r="G188" s="151"/>
      <c r="H188" s="204"/>
      <c r="I188" s="149"/>
      <c r="J188" s="181"/>
      <c r="K188" s="59"/>
      <c r="L188" s="59"/>
      <c r="M188" s="59"/>
      <c r="N188" s="59"/>
      <c r="O188" s="59"/>
      <c r="P188" s="357">
        <f aca="true" t="shared" si="50" ref="P188:S189">P189</f>
        <v>100000</v>
      </c>
      <c r="Q188" s="357">
        <f t="shared" si="50"/>
        <v>0</v>
      </c>
      <c r="R188" s="357">
        <f t="shared" si="50"/>
        <v>0</v>
      </c>
      <c r="S188" s="357">
        <f t="shared" si="50"/>
        <v>0</v>
      </c>
      <c r="T188" s="374">
        <f t="shared" si="45"/>
        <v>0</v>
      </c>
    </row>
    <row r="189" spans="1:20" ht="20.25" customHeight="1" hidden="1">
      <c r="A189" s="22"/>
      <c r="B189" s="32" t="s">
        <v>335</v>
      </c>
      <c r="C189" s="183"/>
      <c r="D189" s="179">
        <v>60014</v>
      </c>
      <c r="E189" s="188"/>
      <c r="F189" s="189"/>
      <c r="G189" s="164"/>
      <c r="H189" s="165"/>
      <c r="I189" s="190"/>
      <c r="J189" s="191"/>
      <c r="K189" s="23"/>
      <c r="L189" s="23"/>
      <c r="M189" s="23"/>
      <c r="N189" s="23"/>
      <c r="O189" s="23"/>
      <c r="P189" s="344">
        <f t="shared" si="50"/>
        <v>100000</v>
      </c>
      <c r="Q189" s="344">
        <f t="shared" si="50"/>
        <v>0</v>
      </c>
      <c r="R189" s="344">
        <f t="shared" si="50"/>
        <v>0</v>
      </c>
      <c r="S189" s="344">
        <f t="shared" si="50"/>
        <v>0</v>
      </c>
      <c r="T189" s="9">
        <f t="shared" si="45"/>
        <v>0</v>
      </c>
    </row>
    <row r="190" spans="1:20" ht="36" customHeight="1" hidden="1">
      <c r="A190" s="22"/>
      <c r="B190" s="32" t="s">
        <v>686</v>
      </c>
      <c r="C190" s="187"/>
      <c r="D190" s="188"/>
      <c r="E190" s="179">
        <v>663</v>
      </c>
      <c r="F190" s="189"/>
      <c r="G190" s="164"/>
      <c r="H190" s="165"/>
      <c r="I190" s="190"/>
      <c r="J190" s="191"/>
      <c r="K190" s="23"/>
      <c r="L190" s="23"/>
      <c r="M190" s="23"/>
      <c r="N190" s="23"/>
      <c r="O190" s="23"/>
      <c r="P190" s="344">
        <v>100000</v>
      </c>
      <c r="Q190" s="344">
        <v>0</v>
      </c>
      <c r="R190" s="344">
        <v>0</v>
      </c>
      <c r="S190" s="11">
        <v>0</v>
      </c>
      <c r="T190" s="9">
        <f t="shared" si="45"/>
        <v>0</v>
      </c>
    </row>
    <row r="191" spans="1:20" ht="0.75" customHeight="1" hidden="1">
      <c r="A191" s="22"/>
      <c r="B191" s="32"/>
      <c r="C191" s="187"/>
      <c r="D191" s="188"/>
      <c r="E191" s="179"/>
      <c r="F191" s="189"/>
      <c r="G191" s="164"/>
      <c r="H191" s="165"/>
      <c r="I191" s="190"/>
      <c r="J191" s="191"/>
      <c r="K191" s="23"/>
      <c r="L191" s="23"/>
      <c r="M191" s="23"/>
      <c r="N191" s="23"/>
      <c r="O191" s="23"/>
      <c r="P191" s="344"/>
      <c r="Q191" s="344"/>
      <c r="R191" s="344"/>
      <c r="S191" s="11"/>
      <c r="T191" s="9">
        <f t="shared" si="45"/>
        <v>0</v>
      </c>
    </row>
    <row r="192" spans="1:20" ht="14.25" customHeight="1" hidden="1">
      <c r="A192" s="22" t="s">
        <v>217</v>
      </c>
      <c r="B192" s="7" t="s">
        <v>629</v>
      </c>
      <c r="C192" s="183">
        <v>630</v>
      </c>
      <c r="D192" s="179"/>
      <c r="E192" s="179"/>
      <c r="F192" s="180"/>
      <c r="G192" s="155"/>
      <c r="H192" s="148"/>
      <c r="I192" s="149"/>
      <c r="J192" s="181"/>
      <c r="K192" s="10"/>
      <c r="L192" s="10"/>
      <c r="M192" s="10"/>
      <c r="N192" s="10"/>
      <c r="O192" s="10"/>
      <c r="P192" s="343">
        <f aca="true" t="shared" si="51" ref="P192:S193">P193</f>
        <v>44390</v>
      </c>
      <c r="Q192" s="343">
        <f t="shared" si="51"/>
        <v>0</v>
      </c>
      <c r="R192" s="343">
        <f t="shared" si="51"/>
        <v>0</v>
      </c>
      <c r="S192" s="343">
        <f t="shared" si="51"/>
        <v>0</v>
      </c>
      <c r="T192" s="13">
        <f t="shared" si="45"/>
        <v>0</v>
      </c>
    </row>
    <row r="193" spans="1:20" ht="0.75" customHeight="1" hidden="1" thickBot="1">
      <c r="A193" s="22"/>
      <c r="B193" s="32" t="s">
        <v>630</v>
      </c>
      <c r="C193" s="183"/>
      <c r="D193" s="179">
        <v>63001</v>
      </c>
      <c r="E193" s="179"/>
      <c r="F193" s="180"/>
      <c r="G193" s="155"/>
      <c r="H193" s="148"/>
      <c r="I193" s="149"/>
      <c r="J193" s="181"/>
      <c r="K193" s="10"/>
      <c r="L193" s="10"/>
      <c r="M193" s="10"/>
      <c r="N193" s="10"/>
      <c r="O193" s="10"/>
      <c r="P193" s="343">
        <f t="shared" si="51"/>
        <v>44390</v>
      </c>
      <c r="Q193" s="343">
        <f t="shared" si="51"/>
        <v>0</v>
      </c>
      <c r="R193" s="343">
        <f t="shared" si="51"/>
        <v>0</v>
      </c>
      <c r="S193" s="343">
        <f t="shared" si="51"/>
        <v>0</v>
      </c>
      <c r="T193" s="13">
        <f t="shared" si="45"/>
        <v>0</v>
      </c>
    </row>
    <row r="194" spans="1:20" ht="37.5" customHeight="1" hidden="1" thickBot="1">
      <c r="A194" s="87"/>
      <c r="B194" s="417" t="s">
        <v>608</v>
      </c>
      <c r="C194" s="390"/>
      <c r="D194" s="354"/>
      <c r="E194" s="396">
        <v>6620</v>
      </c>
      <c r="F194" s="355"/>
      <c r="G194" s="201"/>
      <c r="H194" s="203"/>
      <c r="I194" s="356"/>
      <c r="J194" s="181"/>
      <c r="K194" s="135"/>
      <c r="L194" s="135"/>
      <c r="M194" s="135"/>
      <c r="N194" s="135"/>
      <c r="O194" s="135"/>
      <c r="P194" s="116">
        <v>44390</v>
      </c>
      <c r="Q194" s="116">
        <v>0</v>
      </c>
      <c r="R194" s="116">
        <v>0</v>
      </c>
      <c r="S194" s="135">
        <v>0</v>
      </c>
      <c r="T194" s="202">
        <f t="shared" si="45"/>
        <v>0</v>
      </c>
    </row>
    <row r="195" spans="1:20" ht="21.75" customHeight="1" thickBot="1">
      <c r="A195" s="450" t="s">
        <v>546</v>
      </c>
      <c r="B195" s="451" t="s">
        <v>549</v>
      </c>
      <c r="C195" s="452"/>
      <c r="D195" s="453"/>
      <c r="E195" s="453"/>
      <c r="F195" s="454"/>
      <c r="G195" s="455"/>
      <c r="H195" s="444"/>
      <c r="I195" s="456"/>
      <c r="J195" s="445"/>
      <c r="K195" s="443"/>
      <c r="L195" s="443"/>
      <c r="M195" s="443"/>
      <c r="N195" s="443"/>
      <c r="O195" s="443"/>
      <c r="P195" s="457">
        <f>P196+P199+P210</f>
        <v>272935</v>
      </c>
      <c r="Q195" s="457">
        <f>Q196+Q199+Q210</f>
        <v>0</v>
      </c>
      <c r="R195" s="457">
        <f>R196+R199+R210</f>
        <v>12000</v>
      </c>
      <c r="S195" s="457">
        <f>S196+S199+S202+S207+S210+S217</f>
        <v>1353867</v>
      </c>
      <c r="T195" s="448">
        <f t="shared" si="45"/>
        <v>0.048229184515414726</v>
      </c>
    </row>
    <row r="196" spans="1:20" ht="15.75" customHeight="1">
      <c r="A196" s="60" t="s">
        <v>217</v>
      </c>
      <c r="B196" s="58" t="s">
        <v>334</v>
      </c>
      <c r="C196" s="183">
        <v>600</v>
      </c>
      <c r="D196" s="179"/>
      <c r="E196" s="179"/>
      <c r="F196" s="180"/>
      <c r="G196" s="151"/>
      <c r="H196" s="204"/>
      <c r="I196" s="149"/>
      <c r="J196" s="181"/>
      <c r="K196" s="59"/>
      <c r="L196" s="59"/>
      <c r="M196" s="59"/>
      <c r="N196" s="59"/>
      <c r="O196" s="59"/>
      <c r="P196" s="357">
        <f aca="true" t="shared" si="52" ref="P196:S197">P197</f>
        <v>60000</v>
      </c>
      <c r="Q196" s="357">
        <f t="shared" si="52"/>
        <v>0</v>
      </c>
      <c r="R196" s="357">
        <f t="shared" si="52"/>
        <v>0</v>
      </c>
      <c r="S196" s="357">
        <f t="shared" si="52"/>
        <v>0</v>
      </c>
      <c r="T196" s="374">
        <f t="shared" si="45"/>
        <v>0</v>
      </c>
    </row>
    <row r="197" spans="1:20" ht="12.75" customHeight="1">
      <c r="A197" s="22" t="s">
        <v>320</v>
      </c>
      <c r="B197" s="32" t="s">
        <v>335</v>
      </c>
      <c r="C197" s="178"/>
      <c r="D197" s="179">
        <v>60014</v>
      </c>
      <c r="E197" s="179"/>
      <c r="F197" s="180"/>
      <c r="G197" s="155"/>
      <c r="H197" s="148"/>
      <c r="I197" s="149"/>
      <c r="J197" s="181"/>
      <c r="K197" s="10"/>
      <c r="L197" s="10"/>
      <c r="M197" s="10"/>
      <c r="N197" s="10"/>
      <c r="O197" s="10"/>
      <c r="P197" s="263">
        <f t="shared" si="52"/>
        <v>60000</v>
      </c>
      <c r="Q197" s="263">
        <f t="shared" si="52"/>
        <v>0</v>
      </c>
      <c r="R197" s="263">
        <f t="shared" si="52"/>
        <v>0</v>
      </c>
      <c r="S197" s="343">
        <f t="shared" si="52"/>
        <v>0</v>
      </c>
      <c r="T197" s="13">
        <f t="shared" si="45"/>
        <v>0</v>
      </c>
    </row>
    <row r="198" spans="1:20" ht="24.75" customHeight="1">
      <c r="A198" s="22"/>
      <c r="B198" s="363" t="s">
        <v>609</v>
      </c>
      <c r="C198" s="178"/>
      <c r="D198" s="179"/>
      <c r="E198" s="188">
        <v>2310</v>
      </c>
      <c r="F198" s="180"/>
      <c r="G198" s="155"/>
      <c r="H198" s="148"/>
      <c r="I198" s="149"/>
      <c r="J198" s="181"/>
      <c r="K198" s="10"/>
      <c r="L198" s="10"/>
      <c r="M198" s="10"/>
      <c r="N198" s="10"/>
      <c r="O198" s="10"/>
      <c r="P198" s="263">
        <v>60000</v>
      </c>
      <c r="Q198" s="263">
        <v>0</v>
      </c>
      <c r="R198" s="263">
        <v>0</v>
      </c>
      <c r="S198" s="23">
        <v>0</v>
      </c>
      <c r="T198" s="166">
        <f t="shared" si="45"/>
        <v>0</v>
      </c>
    </row>
    <row r="199" spans="1:20" ht="17.25" customHeight="1">
      <c r="A199" s="22" t="s">
        <v>218</v>
      </c>
      <c r="B199" s="7" t="s">
        <v>334</v>
      </c>
      <c r="C199" s="183">
        <v>600</v>
      </c>
      <c r="D199" s="179"/>
      <c r="E199" s="179"/>
      <c r="F199" s="180"/>
      <c r="G199" s="155"/>
      <c r="H199" s="148"/>
      <c r="I199" s="149"/>
      <c r="J199" s="181"/>
      <c r="K199" s="10"/>
      <c r="L199" s="10"/>
      <c r="M199" s="10"/>
      <c r="N199" s="10"/>
      <c r="O199" s="10"/>
      <c r="P199" s="343">
        <f aca="true" t="shared" si="53" ref="P199:S200">P200</f>
        <v>76935</v>
      </c>
      <c r="Q199" s="343">
        <f t="shared" si="53"/>
        <v>0</v>
      </c>
      <c r="R199" s="343">
        <f t="shared" si="53"/>
        <v>0</v>
      </c>
      <c r="S199" s="343">
        <f>S200</f>
        <v>176435</v>
      </c>
      <c r="T199" s="13">
        <f t="shared" si="45"/>
        <v>0.00628519357512754</v>
      </c>
    </row>
    <row r="200" spans="1:20" ht="16.5" customHeight="1">
      <c r="A200" s="22" t="s">
        <v>320</v>
      </c>
      <c r="B200" s="32" t="s">
        <v>335</v>
      </c>
      <c r="C200" s="178"/>
      <c r="D200" s="179">
        <v>60014</v>
      </c>
      <c r="E200" s="179"/>
      <c r="F200" s="180"/>
      <c r="G200" s="155"/>
      <c r="H200" s="148"/>
      <c r="I200" s="149"/>
      <c r="J200" s="181"/>
      <c r="K200" s="10"/>
      <c r="L200" s="10"/>
      <c r="M200" s="10"/>
      <c r="N200" s="10"/>
      <c r="O200" s="10"/>
      <c r="P200" s="263">
        <f t="shared" si="53"/>
        <v>76935</v>
      </c>
      <c r="Q200" s="263">
        <f t="shared" si="53"/>
        <v>0</v>
      </c>
      <c r="R200" s="263">
        <f t="shared" si="53"/>
        <v>0</v>
      </c>
      <c r="S200" s="263">
        <f t="shared" si="53"/>
        <v>176435</v>
      </c>
      <c r="T200" s="9">
        <f t="shared" si="45"/>
        <v>0.00628519357512754</v>
      </c>
    </row>
    <row r="201" spans="1:20" ht="33.75" customHeight="1">
      <c r="A201" s="22"/>
      <c r="B201" s="363" t="s">
        <v>610</v>
      </c>
      <c r="C201" s="178"/>
      <c r="D201" s="179"/>
      <c r="E201" s="188">
        <v>6610</v>
      </c>
      <c r="F201" s="180"/>
      <c r="G201" s="155"/>
      <c r="H201" s="148"/>
      <c r="I201" s="149"/>
      <c r="J201" s="181"/>
      <c r="K201" s="10"/>
      <c r="L201" s="10"/>
      <c r="M201" s="10"/>
      <c r="N201" s="10"/>
      <c r="O201" s="10"/>
      <c r="P201" s="263">
        <v>76935</v>
      </c>
      <c r="Q201" s="263">
        <v>0</v>
      </c>
      <c r="R201" s="263">
        <v>0</v>
      </c>
      <c r="S201" s="11">
        <v>176435</v>
      </c>
      <c r="T201" s="9">
        <f t="shared" si="45"/>
        <v>0.00628519357512754</v>
      </c>
    </row>
    <row r="202" spans="1:20" ht="17.25" customHeight="1">
      <c r="A202" s="22" t="s">
        <v>220</v>
      </c>
      <c r="B202" s="7" t="s">
        <v>357</v>
      </c>
      <c r="C202" s="183">
        <v>750</v>
      </c>
      <c r="D202" s="179"/>
      <c r="E202" s="179"/>
      <c r="F202" s="180"/>
      <c r="G202" s="155"/>
      <c r="H202" s="148"/>
      <c r="I202" s="149"/>
      <c r="J202" s="181"/>
      <c r="K202" s="10"/>
      <c r="L202" s="10"/>
      <c r="M202" s="10"/>
      <c r="N202" s="10"/>
      <c r="O202" s="10"/>
      <c r="P202" s="343"/>
      <c r="Q202" s="343"/>
      <c r="R202" s="343"/>
      <c r="S202" s="343">
        <f>S203+S205</f>
        <v>29519</v>
      </c>
      <c r="T202" s="13">
        <f t="shared" si="45"/>
        <v>0.0010515636304825565</v>
      </c>
    </row>
    <row r="203" spans="1:20" ht="15.75" customHeight="1">
      <c r="A203" s="22" t="s">
        <v>320</v>
      </c>
      <c r="B203" s="32" t="s">
        <v>790</v>
      </c>
      <c r="C203" s="178"/>
      <c r="D203" s="179">
        <v>75020</v>
      </c>
      <c r="E203" s="188"/>
      <c r="F203" s="180"/>
      <c r="G203" s="155"/>
      <c r="H203" s="148"/>
      <c r="I203" s="149"/>
      <c r="J203" s="181"/>
      <c r="K203" s="10"/>
      <c r="L203" s="10"/>
      <c r="M203" s="10"/>
      <c r="N203" s="10"/>
      <c r="O203" s="10"/>
      <c r="P203" s="263"/>
      <c r="Q203" s="263"/>
      <c r="R203" s="263"/>
      <c r="S203" s="263">
        <f>S204</f>
        <v>29519</v>
      </c>
      <c r="T203" s="9">
        <f t="shared" si="45"/>
        <v>0.0010515636304825565</v>
      </c>
    </row>
    <row r="204" spans="1:20" ht="34.5" customHeight="1">
      <c r="A204" s="22"/>
      <c r="B204" s="363" t="s">
        <v>611</v>
      </c>
      <c r="C204" s="178"/>
      <c r="D204" s="179"/>
      <c r="E204" s="188">
        <v>6610</v>
      </c>
      <c r="F204" s="180"/>
      <c r="G204" s="155"/>
      <c r="H204" s="148"/>
      <c r="I204" s="149"/>
      <c r="J204" s="181"/>
      <c r="K204" s="10"/>
      <c r="L204" s="10"/>
      <c r="M204" s="10"/>
      <c r="N204" s="10"/>
      <c r="O204" s="10"/>
      <c r="P204" s="263"/>
      <c r="Q204" s="263"/>
      <c r="R204" s="263"/>
      <c r="S204" s="263">
        <v>29519</v>
      </c>
      <c r="T204" s="9">
        <f t="shared" si="45"/>
        <v>0.0010515636304825565</v>
      </c>
    </row>
    <row r="205" spans="1:20" ht="17.25" customHeight="1">
      <c r="A205" s="22" t="s">
        <v>330</v>
      </c>
      <c r="B205" s="363" t="s">
        <v>795</v>
      </c>
      <c r="C205" s="178"/>
      <c r="D205" s="179">
        <v>75095</v>
      </c>
      <c r="E205" s="188"/>
      <c r="F205" s="180"/>
      <c r="G205" s="155"/>
      <c r="H205" s="148"/>
      <c r="I205" s="149"/>
      <c r="J205" s="181"/>
      <c r="K205" s="10"/>
      <c r="L205" s="10"/>
      <c r="M205" s="10"/>
      <c r="N205" s="10"/>
      <c r="O205" s="10"/>
      <c r="P205" s="263"/>
      <c r="Q205" s="263"/>
      <c r="R205" s="263"/>
      <c r="S205" s="263">
        <f>S206</f>
        <v>0</v>
      </c>
      <c r="T205" s="9">
        <f>S205/$S$400</f>
        <v>0</v>
      </c>
    </row>
    <row r="206" spans="1:20" ht="34.5" customHeight="1">
      <c r="A206" s="22"/>
      <c r="B206" s="363" t="s">
        <v>612</v>
      </c>
      <c r="C206" s="178"/>
      <c r="D206" s="179"/>
      <c r="E206" s="188">
        <v>2310</v>
      </c>
      <c r="F206" s="180"/>
      <c r="G206" s="155"/>
      <c r="H206" s="148"/>
      <c r="I206" s="149"/>
      <c r="J206" s="181"/>
      <c r="K206" s="10"/>
      <c r="L206" s="10"/>
      <c r="M206" s="10"/>
      <c r="N206" s="10"/>
      <c r="O206" s="10"/>
      <c r="P206" s="263"/>
      <c r="Q206" s="263"/>
      <c r="R206" s="263"/>
      <c r="S206" s="263">
        <v>0</v>
      </c>
      <c r="T206" s="9">
        <f>S206/$S$400</f>
        <v>0</v>
      </c>
    </row>
    <row r="207" spans="1:20" ht="24.75" customHeight="1">
      <c r="A207" s="22" t="s">
        <v>222</v>
      </c>
      <c r="B207" s="7" t="s">
        <v>361</v>
      </c>
      <c r="C207" s="183">
        <v>754</v>
      </c>
      <c r="D207" s="179"/>
      <c r="E207" s="179"/>
      <c r="F207" s="180"/>
      <c r="G207" s="155"/>
      <c r="H207" s="148"/>
      <c r="I207" s="149"/>
      <c r="J207" s="181"/>
      <c r="K207" s="10"/>
      <c r="L207" s="10"/>
      <c r="M207" s="10"/>
      <c r="N207" s="10"/>
      <c r="O207" s="10"/>
      <c r="P207" s="343"/>
      <c r="Q207" s="343"/>
      <c r="R207" s="343"/>
      <c r="S207" s="343">
        <f>S208</f>
        <v>18500</v>
      </c>
      <c r="T207" s="9">
        <f t="shared" si="45"/>
        <v>0.0006590306976498965</v>
      </c>
    </row>
    <row r="208" spans="1:20" ht="21.75" customHeight="1">
      <c r="A208" s="22"/>
      <c r="B208" s="32" t="s">
        <v>389</v>
      </c>
      <c r="C208" s="178"/>
      <c r="D208" s="179">
        <v>75411</v>
      </c>
      <c r="E208" s="188"/>
      <c r="F208" s="180"/>
      <c r="G208" s="155"/>
      <c r="H208" s="148"/>
      <c r="I208" s="149"/>
      <c r="J208" s="181"/>
      <c r="K208" s="10"/>
      <c r="L208" s="10"/>
      <c r="M208" s="10"/>
      <c r="N208" s="10"/>
      <c r="O208" s="10"/>
      <c r="P208" s="263"/>
      <c r="Q208" s="263"/>
      <c r="R208" s="263"/>
      <c r="S208" s="263">
        <f>S209</f>
        <v>18500</v>
      </c>
      <c r="T208" s="9">
        <f t="shared" si="45"/>
        <v>0.0006590306976498965</v>
      </c>
    </row>
    <row r="209" spans="1:20" ht="33.75" customHeight="1">
      <c r="A209" s="22"/>
      <c r="B209" s="363" t="s">
        <v>613</v>
      </c>
      <c r="C209" s="178"/>
      <c r="D209" s="179"/>
      <c r="E209" s="188">
        <v>2310</v>
      </c>
      <c r="F209" s="180"/>
      <c r="G209" s="155"/>
      <c r="H209" s="148"/>
      <c r="I209" s="149"/>
      <c r="J209" s="181"/>
      <c r="K209" s="10"/>
      <c r="L209" s="10"/>
      <c r="M209" s="10"/>
      <c r="N209" s="10"/>
      <c r="O209" s="10"/>
      <c r="P209" s="263"/>
      <c r="Q209" s="263"/>
      <c r="R209" s="263"/>
      <c r="S209" s="263">
        <v>18500</v>
      </c>
      <c r="T209" s="9">
        <f t="shared" si="45"/>
        <v>0.0006590306976498965</v>
      </c>
    </row>
    <row r="210" spans="1:20" ht="15.75" customHeight="1">
      <c r="A210" s="22">
        <v>5</v>
      </c>
      <c r="B210" s="7" t="s">
        <v>373</v>
      </c>
      <c r="C210" s="183">
        <v>851</v>
      </c>
      <c r="D210" s="179"/>
      <c r="E210" s="179"/>
      <c r="F210" s="180"/>
      <c r="G210" s="155"/>
      <c r="H210" s="148"/>
      <c r="I210" s="149"/>
      <c r="J210" s="181"/>
      <c r="K210" s="10"/>
      <c r="L210" s="10"/>
      <c r="M210" s="10"/>
      <c r="N210" s="10"/>
      <c r="O210" s="10"/>
      <c r="P210" s="343">
        <f aca="true" t="shared" si="54" ref="P210:S211">P211</f>
        <v>136000</v>
      </c>
      <c r="Q210" s="343">
        <f t="shared" si="54"/>
        <v>0</v>
      </c>
      <c r="R210" s="343">
        <f t="shared" si="54"/>
        <v>12000</v>
      </c>
      <c r="S210" s="343">
        <f t="shared" si="54"/>
        <v>656350</v>
      </c>
      <c r="T210" s="13">
        <f t="shared" si="45"/>
        <v>0.023381340454189707</v>
      </c>
    </row>
    <row r="211" spans="1:20" ht="15.75" customHeight="1">
      <c r="A211" s="22" t="s">
        <v>320</v>
      </c>
      <c r="B211" s="32" t="s">
        <v>942</v>
      </c>
      <c r="C211" s="178"/>
      <c r="D211" s="179">
        <v>85111</v>
      </c>
      <c r="E211" s="179"/>
      <c r="F211" s="180"/>
      <c r="G211" s="155"/>
      <c r="H211" s="148"/>
      <c r="I211" s="149"/>
      <c r="J211" s="181"/>
      <c r="K211" s="10"/>
      <c r="L211" s="10"/>
      <c r="M211" s="10"/>
      <c r="N211" s="10"/>
      <c r="O211" s="10"/>
      <c r="P211" s="263">
        <f>P212</f>
        <v>136000</v>
      </c>
      <c r="Q211" s="263">
        <f t="shared" si="54"/>
        <v>0</v>
      </c>
      <c r="R211" s="263">
        <f t="shared" si="54"/>
        <v>12000</v>
      </c>
      <c r="S211" s="263">
        <f t="shared" si="54"/>
        <v>656350</v>
      </c>
      <c r="T211" s="9">
        <f t="shared" si="45"/>
        <v>0.023381340454189707</v>
      </c>
    </row>
    <row r="212" spans="1:20" ht="36" customHeight="1">
      <c r="A212" s="22"/>
      <c r="B212" s="32" t="s">
        <v>615</v>
      </c>
      <c r="C212" s="178"/>
      <c r="D212" s="179"/>
      <c r="E212" s="188">
        <v>6610</v>
      </c>
      <c r="F212" s="180"/>
      <c r="G212" s="155"/>
      <c r="H212" s="148"/>
      <c r="I212" s="149"/>
      <c r="J212" s="181"/>
      <c r="K212" s="10"/>
      <c r="L212" s="10"/>
      <c r="M212" s="10"/>
      <c r="N212" s="10"/>
      <c r="O212" s="10"/>
      <c r="P212" s="263">
        <v>136000</v>
      </c>
      <c r="Q212" s="263">
        <v>0</v>
      </c>
      <c r="R212" s="263">
        <v>12000</v>
      </c>
      <c r="S212" s="11">
        <v>656350</v>
      </c>
      <c r="T212" s="9">
        <f aca="true" t="shared" si="55" ref="T212:T248">S212/$S$400</f>
        <v>0.023381340454189707</v>
      </c>
    </row>
    <row r="213" spans="1:20" ht="72" customHeight="1" hidden="1">
      <c r="A213" s="22" t="s">
        <v>243</v>
      </c>
      <c r="B213" s="7" t="s">
        <v>689</v>
      </c>
      <c r="C213" s="183"/>
      <c r="D213" s="179"/>
      <c r="E213" s="179"/>
      <c r="F213" s="180"/>
      <c r="G213" s="155">
        <v>0</v>
      </c>
      <c r="H213" s="148"/>
      <c r="I213" s="149"/>
      <c r="J213" s="181"/>
      <c r="K213" s="10">
        <v>200000</v>
      </c>
      <c r="L213" s="10">
        <v>0</v>
      </c>
      <c r="M213" s="10">
        <v>0</v>
      </c>
      <c r="N213" s="10">
        <v>0</v>
      </c>
      <c r="O213" s="10">
        <v>0</v>
      </c>
      <c r="P213" s="343">
        <f>P214</f>
        <v>0</v>
      </c>
      <c r="Q213" s="343">
        <f>Q214</f>
        <v>0</v>
      </c>
      <c r="R213" s="343">
        <f>R214</f>
        <v>0</v>
      </c>
      <c r="S213" s="343">
        <f>S214</f>
        <v>0</v>
      </c>
      <c r="T213" s="9">
        <f t="shared" si="55"/>
        <v>0</v>
      </c>
    </row>
    <row r="214" spans="1:20" ht="16.5" customHeight="1" hidden="1">
      <c r="A214" s="22"/>
      <c r="B214" s="7" t="s">
        <v>334</v>
      </c>
      <c r="C214" s="183">
        <v>600</v>
      </c>
      <c r="D214" s="179"/>
      <c r="E214" s="179"/>
      <c r="F214" s="180"/>
      <c r="G214" s="155"/>
      <c r="H214" s="148"/>
      <c r="I214" s="149"/>
      <c r="J214" s="181"/>
      <c r="K214" s="10"/>
      <c r="L214" s="10"/>
      <c r="M214" s="10">
        <f aca="true" t="shared" si="56" ref="M214:S215">M215</f>
        <v>0</v>
      </c>
      <c r="N214" s="10">
        <f t="shared" si="56"/>
        <v>0</v>
      </c>
      <c r="O214" s="10">
        <f t="shared" si="56"/>
        <v>0</v>
      </c>
      <c r="P214" s="342">
        <f t="shared" si="56"/>
        <v>0</v>
      </c>
      <c r="Q214" s="342">
        <f t="shared" si="56"/>
        <v>0</v>
      </c>
      <c r="R214" s="342">
        <f t="shared" si="56"/>
        <v>0</v>
      </c>
      <c r="S214" s="342">
        <f t="shared" si="56"/>
        <v>0</v>
      </c>
      <c r="T214" s="9">
        <f t="shared" si="55"/>
        <v>0</v>
      </c>
    </row>
    <row r="215" spans="1:20" ht="15.75" customHeight="1" hidden="1">
      <c r="A215" s="91"/>
      <c r="B215" s="169" t="s">
        <v>335</v>
      </c>
      <c r="C215" s="353"/>
      <c r="D215" s="354">
        <v>60014</v>
      </c>
      <c r="E215" s="354"/>
      <c r="F215" s="355"/>
      <c r="G215" s="201"/>
      <c r="H215" s="203"/>
      <c r="I215" s="356"/>
      <c r="J215" s="181"/>
      <c r="K215" s="135"/>
      <c r="L215" s="135"/>
      <c r="M215" s="135">
        <f t="shared" si="56"/>
        <v>0</v>
      </c>
      <c r="N215" s="135">
        <f t="shared" si="56"/>
        <v>0</v>
      </c>
      <c r="O215" s="135">
        <f t="shared" si="56"/>
        <v>0</v>
      </c>
      <c r="P215" s="351">
        <f t="shared" si="56"/>
        <v>0</v>
      </c>
      <c r="Q215" s="351">
        <f t="shared" si="56"/>
        <v>0</v>
      </c>
      <c r="R215" s="351">
        <f t="shared" si="56"/>
        <v>0</v>
      </c>
      <c r="S215" s="342">
        <f t="shared" si="56"/>
        <v>0</v>
      </c>
      <c r="T215" s="9">
        <f t="shared" si="55"/>
        <v>0</v>
      </c>
    </row>
    <row r="216" spans="1:20" ht="47.25" customHeight="1" hidden="1">
      <c r="A216" s="91"/>
      <c r="B216" s="169" t="s">
        <v>685</v>
      </c>
      <c r="C216" s="170"/>
      <c r="D216" s="170"/>
      <c r="E216" s="170">
        <v>642</v>
      </c>
      <c r="F216" s="379"/>
      <c r="G216" s="172"/>
      <c r="H216" s="173"/>
      <c r="I216" s="174"/>
      <c r="J216" s="175"/>
      <c r="K216" s="175"/>
      <c r="L216" s="175"/>
      <c r="M216" s="175">
        <v>0</v>
      </c>
      <c r="N216" s="175">
        <v>0</v>
      </c>
      <c r="O216" s="175">
        <v>0</v>
      </c>
      <c r="P216" s="107">
        <v>0</v>
      </c>
      <c r="Q216" s="107">
        <v>0</v>
      </c>
      <c r="R216" s="107">
        <v>0</v>
      </c>
      <c r="S216" s="107"/>
      <c r="T216" s="163">
        <f t="shared" si="55"/>
        <v>0</v>
      </c>
    </row>
    <row r="217" spans="1:20" ht="17.25" customHeight="1">
      <c r="A217" s="22">
        <v>6</v>
      </c>
      <c r="B217" s="7" t="s">
        <v>833</v>
      </c>
      <c r="C217" s="86">
        <v>852</v>
      </c>
      <c r="D217" s="86"/>
      <c r="E217" s="86"/>
      <c r="F217" s="12"/>
      <c r="G217" s="155"/>
      <c r="H217" s="148"/>
      <c r="I217" s="13"/>
      <c r="J217" s="10"/>
      <c r="K217" s="10"/>
      <c r="L217" s="10"/>
      <c r="M217" s="10"/>
      <c r="N217" s="10"/>
      <c r="O217" s="10"/>
      <c r="P217" s="10"/>
      <c r="Q217" s="10"/>
      <c r="R217" s="10"/>
      <c r="S217" s="343">
        <f>S218+S220</f>
        <v>473063</v>
      </c>
      <c r="T217" s="13">
        <f>S217/$S$400</f>
        <v>0.016852056157965027</v>
      </c>
    </row>
    <row r="218" spans="1:20" ht="17.25" customHeight="1">
      <c r="A218" s="193" t="s">
        <v>320</v>
      </c>
      <c r="B218" s="152" t="s">
        <v>916</v>
      </c>
      <c r="C218" s="188"/>
      <c r="D218" s="188">
        <v>85201</v>
      </c>
      <c r="E218" s="188"/>
      <c r="F218" s="419"/>
      <c r="G218" s="153"/>
      <c r="H218" s="407"/>
      <c r="I218" s="420"/>
      <c r="J218" s="289"/>
      <c r="K218" s="289"/>
      <c r="L218" s="289"/>
      <c r="M218" s="289"/>
      <c r="N218" s="289"/>
      <c r="O218" s="289"/>
      <c r="P218" s="289"/>
      <c r="Q218" s="289"/>
      <c r="R218" s="289"/>
      <c r="S218" s="496">
        <f>S219</f>
        <v>457501</v>
      </c>
      <c r="T218" s="420">
        <f>S218/$S$400</f>
        <v>0.016297686659758125</v>
      </c>
    </row>
    <row r="219" spans="1:20" ht="27" customHeight="1">
      <c r="A219" s="60"/>
      <c r="B219" s="152" t="s">
        <v>917</v>
      </c>
      <c r="C219" s="179"/>
      <c r="D219" s="188"/>
      <c r="E219" s="188">
        <v>2320</v>
      </c>
      <c r="F219" s="419"/>
      <c r="G219" s="153"/>
      <c r="H219" s="407"/>
      <c r="I219" s="420"/>
      <c r="J219" s="289"/>
      <c r="K219" s="289"/>
      <c r="L219" s="289"/>
      <c r="M219" s="289"/>
      <c r="N219" s="289"/>
      <c r="O219" s="289"/>
      <c r="P219" s="289"/>
      <c r="Q219" s="289"/>
      <c r="R219" s="289"/>
      <c r="S219" s="496">
        <v>457501</v>
      </c>
      <c r="T219" s="420">
        <f>S219/$S$400</f>
        <v>0.016297686659758125</v>
      </c>
    </row>
    <row r="220" spans="1:20" ht="18" customHeight="1">
      <c r="A220" s="193" t="s">
        <v>320</v>
      </c>
      <c r="B220" s="152" t="s">
        <v>614</v>
      </c>
      <c r="C220" s="188"/>
      <c r="D220" s="188">
        <v>85204</v>
      </c>
      <c r="E220" s="188"/>
      <c r="F220" s="419"/>
      <c r="G220" s="153"/>
      <c r="H220" s="407"/>
      <c r="I220" s="420"/>
      <c r="J220" s="289"/>
      <c r="K220" s="289"/>
      <c r="L220" s="289"/>
      <c r="M220" s="289"/>
      <c r="N220" s="289"/>
      <c r="O220" s="289"/>
      <c r="P220" s="44"/>
      <c r="Q220" s="44"/>
      <c r="R220" s="44"/>
      <c r="S220" s="112">
        <f>S221</f>
        <v>15562</v>
      </c>
      <c r="T220" s="365">
        <f>S220/$S$400</f>
        <v>0.0005543694982069021</v>
      </c>
    </row>
    <row r="221" spans="1:20" ht="26.25" customHeight="1">
      <c r="A221" s="24"/>
      <c r="B221" s="32" t="s">
        <v>547</v>
      </c>
      <c r="C221" s="25"/>
      <c r="D221" s="25"/>
      <c r="E221" s="25">
        <v>2320</v>
      </c>
      <c r="F221" s="136"/>
      <c r="G221" s="164"/>
      <c r="H221" s="165"/>
      <c r="I221" s="166"/>
      <c r="J221" s="23"/>
      <c r="K221" s="23"/>
      <c r="L221" s="23"/>
      <c r="M221" s="23"/>
      <c r="N221" s="23"/>
      <c r="O221" s="23"/>
      <c r="P221" s="11"/>
      <c r="Q221" s="11"/>
      <c r="R221" s="11"/>
      <c r="S221" s="263">
        <v>15562</v>
      </c>
      <c r="T221" s="421">
        <f>S221/$S$400</f>
        <v>0.0005543694982069021</v>
      </c>
    </row>
    <row r="222" spans="1:20" ht="27.75" customHeight="1" thickBot="1">
      <c r="A222" s="469" t="s">
        <v>405</v>
      </c>
      <c r="B222" s="458" t="s">
        <v>400</v>
      </c>
      <c r="C222" s="459"/>
      <c r="D222" s="459"/>
      <c r="E222" s="459"/>
      <c r="F222" s="460">
        <f>F223+F232+F273+F297</f>
        <v>3346505</v>
      </c>
      <c r="G222" s="461" t="e">
        <f>G239+G251+G273+G327+#REF!+G242</f>
        <v>#REF!</v>
      </c>
      <c r="H222" s="462" t="e">
        <f aca="true" t="shared" si="57" ref="H222:H238">IF(F222&gt;0,G222/F222*100,"")</f>
        <v>#REF!</v>
      </c>
      <c r="I222" s="463" t="e">
        <f>F222/F400</f>
        <v>#REF!</v>
      </c>
      <c r="J222" s="464"/>
      <c r="K222" s="465" t="e">
        <f>K273+K239+K251+K327+#REF!+K242</f>
        <v>#REF!</v>
      </c>
      <c r="L222" s="465" t="e">
        <f>L273+L239+L251+L327+#REF!+L242</f>
        <v>#REF!</v>
      </c>
      <c r="M222" s="465" t="e">
        <f>M239+M242+M251+#REF!+M273+M327+M245</f>
        <v>#REF!</v>
      </c>
      <c r="N222" s="465" t="e">
        <f>N239+N242+N251+#REF!+N273+N327+N245</f>
        <v>#REF!</v>
      </c>
      <c r="O222" s="465" t="e">
        <f>O239+O242+O251+#REF!+O273+O327+O245</f>
        <v>#REF!</v>
      </c>
      <c r="P222" s="465">
        <f>P239+P251+P273+P327+P245+P248+P270</f>
        <v>3663893</v>
      </c>
      <c r="Q222" s="465">
        <f>Q239+Q251+Q273+Q327+Q245+Q248+Q270</f>
        <v>48298</v>
      </c>
      <c r="R222" s="465">
        <f>R239+R251+R273+R327+R245+R248+R270</f>
        <v>0</v>
      </c>
      <c r="S222" s="466">
        <f>S273+S327</f>
        <v>578000</v>
      </c>
      <c r="T222" s="468">
        <f t="shared" si="55"/>
        <v>0.02059025639144001</v>
      </c>
    </row>
    <row r="223" spans="1:20" ht="22.5" customHeight="1" hidden="1">
      <c r="A223" s="60" t="s">
        <v>217</v>
      </c>
      <c r="B223" s="406" t="s">
        <v>369</v>
      </c>
      <c r="C223" s="184">
        <v>801</v>
      </c>
      <c r="D223" s="184"/>
      <c r="E223" s="184"/>
      <c r="F223" s="373">
        <f>F224+F226+F228+F230</f>
        <v>198394</v>
      </c>
      <c r="G223" s="151">
        <f>G224+G226+G228+G230</f>
        <v>0</v>
      </c>
      <c r="H223" s="385">
        <f t="shared" si="57"/>
        <v>0</v>
      </c>
      <c r="I223" s="407" t="e">
        <f>F223/F400</f>
        <v>#REF!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365">
        <f t="shared" si="55"/>
        <v>0</v>
      </c>
    </row>
    <row r="224" spans="1:20" ht="22.5" customHeight="1" hidden="1">
      <c r="A224" s="24" t="s">
        <v>320</v>
      </c>
      <c r="B224" s="32" t="s">
        <v>874</v>
      </c>
      <c r="C224" s="36"/>
      <c r="D224" s="36">
        <v>80120</v>
      </c>
      <c r="E224" s="36"/>
      <c r="F224" s="136">
        <f>F225</f>
        <v>37842</v>
      </c>
      <c r="G224" s="164">
        <f>G225</f>
        <v>0</v>
      </c>
      <c r="H224" s="154">
        <f t="shared" si="57"/>
        <v>0</v>
      </c>
      <c r="I224" s="165" t="e">
        <f>F224/F400</f>
        <v>#REF!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9">
        <f t="shared" si="55"/>
        <v>0</v>
      </c>
    </row>
    <row r="225" spans="1:20" ht="25.5" customHeight="1" hidden="1">
      <c r="A225" s="22"/>
      <c r="B225" s="14" t="s">
        <v>401</v>
      </c>
      <c r="C225" s="36"/>
      <c r="D225" s="36"/>
      <c r="E225" s="36">
        <v>213</v>
      </c>
      <c r="F225" s="136">
        <v>37842</v>
      </c>
      <c r="G225" s="164">
        <v>0</v>
      </c>
      <c r="H225" s="154">
        <f t="shared" si="57"/>
        <v>0</v>
      </c>
      <c r="I225" s="165" t="e">
        <f>F225/F400</f>
        <v>#REF!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9">
        <f t="shared" si="55"/>
        <v>0</v>
      </c>
    </row>
    <row r="226" spans="1:20" ht="25.5" customHeight="1" hidden="1">
      <c r="A226" s="24" t="s">
        <v>330</v>
      </c>
      <c r="B226" s="14" t="s">
        <v>889</v>
      </c>
      <c r="C226" s="36"/>
      <c r="D226" s="36">
        <v>80131</v>
      </c>
      <c r="E226" s="36"/>
      <c r="F226" s="136">
        <f>F227</f>
        <v>73416</v>
      </c>
      <c r="G226" s="164">
        <f>G227</f>
        <v>0</v>
      </c>
      <c r="H226" s="154">
        <f t="shared" si="57"/>
        <v>0</v>
      </c>
      <c r="I226" s="165" t="e">
        <f>F226/F400</f>
        <v>#REF!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9">
        <f t="shared" si="55"/>
        <v>0</v>
      </c>
    </row>
    <row r="227" spans="1:20" ht="25.5" customHeight="1" hidden="1">
      <c r="A227" s="22"/>
      <c r="B227" s="14" t="s">
        <v>401</v>
      </c>
      <c r="C227" s="36"/>
      <c r="D227" s="36"/>
      <c r="E227" s="36">
        <v>213</v>
      </c>
      <c r="F227" s="136">
        <v>73416</v>
      </c>
      <c r="G227" s="164">
        <v>0</v>
      </c>
      <c r="H227" s="154">
        <f t="shared" si="57"/>
        <v>0</v>
      </c>
      <c r="I227" s="165" t="e">
        <f>F227/F400</f>
        <v>#REF!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9">
        <f t="shared" si="55"/>
        <v>0</v>
      </c>
    </row>
    <row r="228" spans="1:20" ht="25.5" customHeight="1" hidden="1">
      <c r="A228" s="24" t="s">
        <v>372</v>
      </c>
      <c r="B228" s="14" t="s">
        <v>907</v>
      </c>
      <c r="C228" s="36"/>
      <c r="D228" s="36">
        <v>80134</v>
      </c>
      <c r="E228" s="36"/>
      <c r="F228" s="136">
        <f>F229</f>
        <v>22764</v>
      </c>
      <c r="G228" s="164">
        <f>G229</f>
        <v>0</v>
      </c>
      <c r="H228" s="154">
        <f t="shared" si="57"/>
        <v>0</v>
      </c>
      <c r="I228" s="165" t="e">
        <f>F228/F400</f>
        <v>#REF!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9">
        <f t="shared" si="55"/>
        <v>0</v>
      </c>
    </row>
    <row r="229" spans="1:20" ht="25.5" customHeight="1" hidden="1">
      <c r="A229" s="22"/>
      <c r="B229" s="14" t="s">
        <v>401</v>
      </c>
      <c r="C229" s="36"/>
      <c r="D229" s="36"/>
      <c r="E229" s="36">
        <v>213</v>
      </c>
      <c r="F229" s="136">
        <v>22764</v>
      </c>
      <c r="G229" s="164">
        <v>0</v>
      </c>
      <c r="H229" s="154">
        <f t="shared" si="57"/>
        <v>0</v>
      </c>
      <c r="I229" s="165" t="e">
        <f>F229/F400</f>
        <v>#REF!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9">
        <f t="shared" si="55"/>
        <v>0</v>
      </c>
    </row>
    <row r="230" spans="1:20" ht="23.25" customHeight="1" hidden="1">
      <c r="A230" s="24" t="s">
        <v>375</v>
      </c>
      <c r="B230" s="32" t="s">
        <v>795</v>
      </c>
      <c r="C230" s="36"/>
      <c r="D230" s="36">
        <v>80195</v>
      </c>
      <c r="E230" s="36"/>
      <c r="F230" s="136">
        <f>F231</f>
        <v>64372</v>
      </c>
      <c r="G230" s="164">
        <f>G231</f>
        <v>0</v>
      </c>
      <c r="H230" s="154">
        <f t="shared" si="57"/>
        <v>0</v>
      </c>
      <c r="I230" s="165" t="e">
        <f>F230/F400</f>
        <v>#REF!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9">
        <f t="shared" si="55"/>
        <v>0</v>
      </c>
    </row>
    <row r="231" spans="1:20" ht="24.75" customHeight="1" hidden="1">
      <c r="A231" s="24"/>
      <c r="B231" s="14" t="s">
        <v>401</v>
      </c>
      <c r="C231" s="36"/>
      <c r="D231" s="36"/>
      <c r="E231" s="36">
        <v>213</v>
      </c>
      <c r="F231" s="136">
        <v>64372</v>
      </c>
      <c r="G231" s="164">
        <v>0</v>
      </c>
      <c r="H231" s="154">
        <f t="shared" si="57"/>
        <v>0</v>
      </c>
      <c r="I231" s="165" t="e">
        <f>F231/F400</f>
        <v>#REF!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9">
        <f t="shared" si="55"/>
        <v>0</v>
      </c>
    </row>
    <row r="232" spans="1:20" ht="24.75" customHeight="1" hidden="1">
      <c r="A232" s="22" t="s">
        <v>218</v>
      </c>
      <c r="B232" s="158" t="s">
        <v>373</v>
      </c>
      <c r="C232" s="36">
        <v>851</v>
      </c>
      <c r="D232" s="36"/>
      <c r="E232" s="36"/>
      <c r="F232" s="136">
        <f>F233+F235+F237</f>
        <v>108351</v>
      </c>
      <c r="G232" s="164">
        <f>G233+G235+G237</f>
        <v>0</v>
      </c>
      <c r="H232" s="154">
        <f t="shared" si="57"/>
        <v>0</v>
      </c>
      <c r="I232" s="165" t="e">
        <f>F232/F400</f>
        <v>#REF!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9">
        <f t="shared" si="55"/>
        <v>0</v>
      </c>
    </row>
    <row r="233" spans="1:20" ht="24.75" customHeight="1" hidden="1">
      <c r="A233" s="24" t="s">
        <v>320</v>
      </c>
      <c r="B233" s="14" t="s">
        <v>942</v>
      </c>
      <c r="C233" s="36"/>
      <c r="D233" s="36">
        <v>85111</v>
      </c>
      <c r="E233" s="36"/>
      <c r="F233" s="136">
        <f>F234</f>
        <v>74531</v>
      </c>
      <c r="G233" s="164">
        <f>G234</f>
        <v>0</v>
      </c>
      <c r="H233" s="154">
        <f t="shared" si="57"/>
        <v>0</v>
      </c>
      <c r="I233" s="165" t="e">
        <f>F233/F400</f>
        <v>#REF!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9">
        <f t="shared" si="55"/>
        <v>0</v>
      </c>
    </row>
    <row r="234" spans="1:20" ht="24.75" customHeight="1" hidden="1">
      <c r="A234" s="24"/>
      <c r="B234" s="14" t="s">
        <v>401</v>
      </c>
      <c r="C234" s="36"/>
      <c r="D234" s="36"/>
      <c r="E234" s="36">
        <v>213</v>
      </c>
      <c r="F234" s="136">
        <v>74531</v>
      </c>
      <c r="G234" s="164">
        <v>0</v>
      </c>
      <c r="H234" s="154">
        <f t="shared" si="57"/>
        <v>0</v>
      </c>
      <c r="I234" s="165" t="e">
        <f>F234/F400</f>
        <v>#REF!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9">
        <f t="shared" si="55"/>
        <v>0</v>
      </c>
    </row>
    <row r="235" spans="1:20" ht="24.75" customHeight="1" hidden="1">
      <c r="A235" s="24" t="s">
        <v>330</v>
      </c>
      <c r="B235" s="14" t="s">
        <v>18</v>
      </c>
      <c r="C235" s="36"/>
      <c r="D235" s="36">
        <v>85121</v>
      </c>
      <c r="E235" s="36"/>
      <c r="F235" s="136">
        <f>F236</f>
        <v>29325</v>
      </c>
      <c r="G235" s="164">
        <f>G236</f>
        <v>0</v>
      </c>
      <c r="H235" s="154">
        <f t="shared" si="57"/>
        <v>0</v>
      </c>
      <c r="I235" s="165" t="e">
        <f>F235/F400</f>
        <v>#REF!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9">
        <f t="shared" si="55"/>
        <v>0</v>
      </c>
    </row>
    <row r="236" spans="1:20" ht="24.75" customHeight="1" hidden="1">
      <c r="A236" s="24"/>
      <c r="B236" s="14" t="s">
        <v>401</v>
      </c>
      <c r="C236" s="36"/>
      <c r="D236" s="36"/>
      <c r="E236" s="36">
        <v>213</v>
      </c>
      <c r="F236" s="136">
        <v>29325</v>
      </c>
      <c r="G236" s="164">
        <v>0</v>
      </c>
      <c r="H236" s="154">
        <f t="shared" si="57"/>
        <v>0</v>
      </c>
      <c r="I236" s="165" t="e">
        <f>F236/F400</f>
        <v>#REF!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9">
        <f t="shared" si="55"/>
        <v>0</v>
      </c>
    </row>
    <row r="237" spans="1:20" ht="24.75" customHeight="1" hidden="1">
      <c r="A237" s="24" t="s">
        <v>372</v>
      </c>
      <c r="B237" s="14" t="s">
        <v>24</v>
      </c>
      <c r="C237" s="36"/>
      <c r="D237" s="36">
        <v>85141</v>
      </c>
      <c r="E237" s="36"/>
      <c r="F237" s="136">
        <f>F238</f>
        <v>4495</v>
      </c>
      <c r="G237" s="164">
        <f>G238</f>
        <v>0</v>
      </c>
      <c r="H237" s="154">
        <f t="shared" si="57"/>
        <v>0</v>
      </c>
      <c r="I237" s="165" t="e">
        <f>F237/F400</f>
        <v>#REF!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9">
        <f t="shared" si="55"/>
        <v>0</v>
      </c>
    </row>
    <row r="238" spans="1:20" ht="22.5" customHeight="1" hidden="1">
      <c r="A238" s="24"/>
      <c r="B238" s="14" t="s">
        <v>401</v>
      </c>
      <c r="C238" s="36"/>
      <c r="D238" s="36"/>
      <c r="E238" s="36">
        <v>213</v>
      </c>
      <c r="F238" s="136">
        <v>4495</v>
      </c>
      <c r="G238" s="164">
        <v>0</v>
      </c>
      <c r="H238" s="154">
        <f t="shared" si="57"/>
        <v>0</v>
      </c>
      <c r="I238" s="165" t="e">
        <f>F238/F400</f>
        <v>#REF!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9">
        <f t="shared" si="55"/>
        <v>0</v>
      </c>
    </row>
    <row r="239" spans="1:20" ht="15.75" customHeight="1" hidden="1">
      <c r="A239" s="22" t="s">
        <v>217</v>
      </c>
      <c r="B239" s="7" t="s">
        <v>402</v>
      </c>
      <c r="C239" s="30" t="s">
        <v>745</v>
      </c>
      <c r="D239" s="21"/>
      <c r="E239" s="21"/>
      <c r="F239" s="136"/>
      <c r="G239" s="155">
        <f>G240</f>
        <v>16600</v>
      </c>
      <c r="H239" s="148"/>
      <c r="I239" s="148"/>
      <c r="J239" s="10"/>
      <c r="K239" s="10">
        <f aca="true" t="shared" si="58" ref="K239:M240">K240</f>
        <v>0</v>
      </c>
      <c r="L239" s="10">
        <f t="shared" si="58"/>
        <v>0</v>
      </c>
      <c r="M239" s="10">
        <f t="shared" si="58"/>
        <v>5200</v>
      </c>
      <c r="N239" s="10">
        <f aca="true" t="shared" si="59" ref="N239:S240">N240</f>
        <v>0</v>
      </c>
      <c r="O239" s="10">
        <f t="shared" si="59"/>
        <v>0</v>
      </c>
      <c r="P239" s="196">
        <f t="shared" si="59"/>
        <v>5400</v>
      </c>
      <c r="Q239" s="196">
        <f t="shared" si="59"/>
        <v>0</v>
      </c>
      <c r="R239" s="196">
        <f t="shared" si="59"/>
        <v>0</v>
      </c>
      <c r="S239" s="342">
        <f t="shared" si="59"/>
        <v>0</v>
      </c>
      <c r="T239" s="13">
        <f t="shared" si="55"/>
        <v>0</v>
      </c>
    </row>
    <row r="240" spans="1:20" ht="18.75" customHeight="1" hidden="1">
      <c r="A240" s="22" t="s">
        <v>320</v>
      </c>
      <c r="B240" s="7" t="s">
        <v>748</v>
      </c>
      <c r="C240" s="21"/>
      <c r="D240" s="30" t="s">
        <v>747</v>
      </c>
      <c r="E240" s="30"/>
      <c r="F240" s="12"/>
      <c r="G240" s="155">
        <v>16600</v>
      </c>
      <c r="H240" s="148"/>
      <c r="I240" s="148"/>
      <c r="J240" s="10"/>
      <c r="K240" s="10">
        <f t="shared" si="58"/>
        <v>0</v>
      </c>
      <c r="L240" s="10">
        <f t="shared" si="58"/>
        <v>0</v>
      </c>
      <c r="M240" s="10">
        <f t="shared" si="58"/>
        <v>5200</v>
      </c>
      <c r="N240" s="10">
        <f t="shared" si="59"/>
        <v>0</v>
      </c>
      <c r="O240" s="10">
        <f t="shared" si="59"/>
        <v>0</v>
      </c>
      <c r="P240" s="196">
        <f t="shared" si="59"/>
        <v>5400</v>
      </c>
      <c r="Q240" s="196">
        <f t="shared" si="59"/>
        <v>0</v>
      </c>
      <c r="R240" s="196">
        <f t="shared" si="59"/>
        <v>0</v>
      </c>
      <c r="S240" s="342">
        <f t="shared" si="59"/>
        <v>0</v>
      </c>
      <c r="T240" s="13">
        <f t="shared" si="55"/>
        <v>0</v>
      </c>
    </row>
    <row r="241" spans="1:20" ht="22.5" customHeight="1" hidden="1">
      <c r="A241" s="24"/>
      <c r="B241" s="14" t="s">
        <v>401</v>
      </c>
      <c r="C241" s="36"/>
      <c r="D241" s="36"/>
      <c r="E241" s="36">
        <v>2130</v>
      </c>
      <c r="F241" s="136"/>
      <c r="G241" s="164">
        <v>16600</v>
      </c>
      <c r="H241" s="154"/>
      <c r="I241" s="165"/>
      <c r="J241" s="11"/>
      <c r="K241" s="11">
        <v>0</v>
      </c>
      <c r="L241" s="11">
        <v>0</v>
      </c>
      <c r="M241" s="11">
        <v>5200</v>
      </c>
      <c r="N241" s="11">
        <v>0</v>
      </c>
      <c r="O241" s="11">
        <v>0</v>
      </c>
      <c r="P241" s="11">
        <v>5400</v>
      </c>
      <c r="Q241" s="11">
        <v>0</v>
      </c>
      <c r="R241" s="11">
        <v>0</v>
      </c>
      <c r="S241" s="11">
        <v>0</v>
      </c>
      <c r="T241" s="9">
        <f t="shared" si="55"/>
        <v>0</v>
      </c>
    </row>
    <row r="242" spans="1:20" ht="22.5" customHeight="1" hidden="1">
      <c r="A242" s="22">
        <v>2</v>
      </c>
      <c r="B242" s="7" t="s">
        <v>334</v>
      </c>
      <c r="C242" s="86">
        <v>600</v>
      </c>
      <c r="D242" s="86"/>
      <c r="E242" s="86"/>
      <c r="F242" s="12"/>
      <c r="G242" s="155">
        <f>G243</f>
        <v>0</v>
      </c>
      <c r="H242" s="148"/>
      <c r="I242" s="148"/>
      <c r="J242" s="10"/>
      <c r="K242" s="10">
        <f aca="true" t="shared" si="60" ref="K242:M243">K243</f>
        <v>200000</v>
      </c>
      <c r="L242" s="10">
        <f t="shared" si="60"/>
        <v>0</v>
      </c>
      <c r="M242" s="11">
        <f t="shared" si="60"/>
        <v>0</v>
      </c>
      <c r="N242" s="11"/>
      <c r="O242" s="11"/>
      <c r="P242" s="11"/>
      <c r="Q242" s="11"/>
      <c r="R242" s="11"/>
      <c r="S242" s="11"/>
      <c r="T242" s="9">
        <f t="shared" si="55"/>
        <v>0</v>
      </c>
    </row>
    <row r="243" spans="1:20" ht="22.5" customHeight="1" hidden="1">
      <c r="A243" s="24" t="s">
        <v>320</v>
      </c>
      <c r="B243" s="14" t="s">
        <v>335</v>
      </c>
      <c r="C243" s="36"/>
      <c r="D243" s="36">
        <v>60014</v>
      </c>
      <c r="E243" s="36"/>
      <c r="F243" s="136"/>
      <c r="G243" s="164">
        <f>G244</f>
        <v>0</v>
      </c>
      <c r="H243" s="154"/>
      <c r="I243" s="165"/>
      <c r="J243" s="11"/>
      <c r="K243" s="11">
        <f t="shared" si="60"/>
        <v>200000</v>
      </c>
      <c r="L243" s="11">
        <f t="shared" si="60"/>
        <v>0</v>
      </c>
      <c r="M243" s="11">
        <f t="shared" si="60"/>
        <v>0</v>
      </c>
      <c r="N243" s="11"/>
      <c r="O243" s="11"/>
      <c r="P243" s="11"/>
      <c r="Q243" s="11"/>
      <c r="R243" s="11"/>
      <c r="S243" s="11"/>
      <c r="T243" s="9">
        <f t="shared" si="55"/>
        <v>0</v>
      </c>
    </row>
    <row r="244" spans="1:20" ht="22.5" customHeight="1" hidden="1">
      <c r="A244" s="24"/>
      <c r="B244" s="14" t="s">
        <v>403</v>
      </c>
      <c r="C244" s="36"/>
      <c r="D244" s="36"/>
      <c r="E244" s="36">
        <v>643</v>
      </c>
      <c r="F244" s="136"/>
      <c r="G244" s="164">
        <v>0</v>
      </c>
      <c r="H244" s="154"/>
      <c r="I244" s="165"/>
      <c r="J244" s="11"/>
      <c r="K244" s="11">
        <v>200000</v>
      </c>
      <c r="L244" s="11">
        <v>0</v>
      </c>
      <c r="M244" s="11"/>
      <c r="N244" s="11"/>
      <c r="O244" s="11"/>
      <c r="P244" s="11"/>
      <c r="Q244" s="11"/>
      <c r="R244" s="11"/>
      <c r="S244" s="11"/>
      <c r="T244" s="9">
        <f t="shared" si="55"/>
        <v>0</v>
      </c>
    </row>
    <row r="245" spans="1:20" ht="22.5" customHeight="1" hidden="1">
      <c r="A245" s="22" t="s">
        <v>218</v>
      </c>
      <c r="B245" s="7" t="s">
        <v>334</v>
      </c>
      <c r="C245" s="86">
        <v>600</v>
      </c>
      <c r="D245" s="86"/>
      <c r="E245" s="86"/>
      <c r="F245" s="12"/>
      <c r="G245" s="155"/>
      <c r="H245" s="148"/>
      <c r="I245" s="148"/>
      <c r="J245" s="10"/>
      <c r="K245" s="10"/>
      <c r="L245" s="10"/>
      <c r="M245" s="10">
        <f aca="true" t="shared" si="61" ref="M245:R246">M246</f>
        <v>774988</v>
      </c>
      <c r="N245" s="10">
        <f t="shared" si="61"/>
        <v>0</v>
      </c>
      <c r="O245" s="10">
        <f t="shared" si="61"/>
        <v>0</v>
      </c>
      <c r="P245" s="10">
        <f t="shared" si="61"/>
        <v>0</v>
      </c>
      <c r="Q245" s="10">
        <f t="shared" si="61"/>
        <v>0</v>
      </c>
      <c r="R245" s="10">
        <f t="shared" si="61"/>
        <v>0</v>
      </c>
      <c r="S245" s="11"/>
      <c r="T245" s="9">
        <f t="shared" si="55"/>
        <v>0</v>
      </c>
    </row>
    <row r="246" spans="1:20" ht="22.5" customHeight="1" hidden="1">
      <c r="A246" s="24"/>
      <c r="B246" s="32" t="s">
        <v>335</v>
      </c>
      <c r="C246" s="36"/>
      <c r="D246" s="86">
        <v>60014</v>
      </c>
      <c r="E246" s="36"/>
      <c r="F246" s="136"/>
      <c r="G246" s="164"/>
      <c r="H246" s="154"/>
      <c r="I246" s="165"/>
      <c r="J246" s="11"/>
      <c r="K246" s="11"/>
      <c r="L246" s="11"/>
      <c r="M246" s="11">
        <f t="shared" si="61"/>
        <v>774988</v>
      </c>
      <c r="N246" s="10">
        <f t="shared" si="61"/>
        <v>0</v>
      </c>
      <c r="O246" s="10">
        <f t="shared" si="61"/>
        <v>0</v>
      </c>
      <c r="P246" s="10">
        <f t="shared" si="61"/>
        <v>0</v>
      </c>
      <c r="Q246" s="10">
        <f t="shared" si="61"/>
        <v>0</v>
      </c>
      <c r="R246" s="10">
        <f t="shared" si="61"/>
        <v>0</v>
      </c>
      <c r="S246" s="11"/>
      <c r="T246" s="9">
        <f t="shared" si="55"/>
        <v>0</v>
      </c>
    </row>
    <row r="247" spans="1:20" ht="22.5" customHeight="1" hidden="1">
      <c r="A247" s="24"/>
      <c r="B247" s="32" t="s">
        <v>449</v>
      </c>
      <c r="C247" s="36"/>
      <c r="D247" s="36"/>
      <c r="E247" s="36">
        <v>643</v>
      </c>
      <c r="F247" s="136"/>
      <c r="G247" s="164"/>
      <c r="H247" s="154"/>
      <c r="I247" s="165"/>
      <c r="J247" s="11"/>
      <c r="K247" s="11"/>
      <c r="L247" s="11"/>
      <c r="M247" s="11">
        <v>774988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/>
      <c r="T247" s="9">
        <f t="shared" si="55"/>
        <v>0</v>
      </c>
    </row>
    <row r="248" spans="1:20" ht="15" customHeight="1" hidden="1">
      <c r="A248" s="22" t="s">
        <v>218</v>
      </c>
      <c r="B248" s="7" t="s">
        <v>334</v>
      </c>
      <c r="C248" s="86">
        <v>600</v>
      </c>
      <c r="D248" s="86"/>
      <c r="E248" s="86"/>
      <c r="F248" s="12"/>
      <c r="G248" s="155"/>
      <c r="H248" s="148"/>
      <c r="I248" s="148"/>
      <c r="J248" s="10"/>
      <c r="K248" s="10"/>
      <c r="L248" s="10"/>
      <c r="M248" s="10"/>
      <c r="N248" s="10"/>
      <c r="O248" s="10"/>
      <c r="P248" s="10">
        <f aca="true" t="shared" si="62" ref="P248:S249">P249</f>
        <v>1409284</v>
      </c>
      <c r="Q248" s="10">
        <f t="shared" si="62"/>
        <v>0</v>
      </c>
      <c r="R248" s="10">
        <f t="shared" si="62"/>
        <v>0</v>
      </c>
      <c r="S248" s="343">
        <f t="shared" si="62"/>
        <v>0</v>
      </c>
      <c r="T248" s="13">
        <f t="shared" si="55"/>
        <v>0</v>
      </c>
    </row>
    <row r="249" spans="1:20" ht="17.25" customHeight="1" hidden="1">
      <c r="A249" s="22" t="s">
        <v>320</v>
      </c>
      <c r="B249" s="7" t="s">
        <v>335</v>
      </c>
      <c r="C249" s="86"/>
      <c r="D249" s="86">
        <v>60014</v>
      </c>
      <c r="E249" s="36"/>
      <c r="F249" s="136"/>
      <c r="G249" s="164"/>
      <c r="H249" s="154"/>
      <c r="I249" s="165"/>
      <c r="J249" s="11"/>
      <c r="K249" s="11"/>
      <c r="L249" s="11"/>
      <c r="M249" s="11"/>
      <c r="N249" s="11"/>
      <c r="O249" s="11"/>
      <c r="P249" s="11">
        <f t="shared" si="62"/>
        <v>1409284</v>
      </c>
      <c r="Q249" s="11">
        <f t="shared" si="62"/>
        <v>0</v>
      </c>
      <c r="R249" s="11">
        <f t="shared" si="62"/>
        <v>0</v>
      </c>
      <c r="S249" s="263">
        <f t="shared" si="62"/>
        <v>0</v>
      </c>
      <c r="T249" s="9">
        <f aca="true" t="shared" si="63" ref="T249:T254">S249/$S$400</f>
        <v>0</v>
      </c>
    </row>
    <row r="250" spans="1:20" ht="28.5" customHeight="1" hidden="1">
      <c r="A250" s="24"/>
      <c r="B250" s="14" t="s">
        <v>680</v>
      </c>
      <c r="C250" s="36"/>
      <c r="D250" s="36"/>
      <c r="E250" s="36">
        <v>2130</v>
      </c>
      <c r="F250" s="136"/>
      <c r="G250" s="164"/>
      <c r="H250" s="154"/>
      <c r="I250" s="165"/>
      <c r="J250" s="11"/>
      <c r="K250" s="11"/>
      <c r="L250" s="11"/>
      <c r="M250" s="11"/>
      <c r="N250" s="11"/>
      <c r="O250" s="11"/>
      <c r="P250" s="11">
        <v>1409284</v>
      </c>
      <c r="Q250" s="11">
        <v>0</v>
      </c>
      <c r="R250" s="11">
        <v>0</v>
      </c>
      <c r="S250" s="11">
        <v>0</v>
      </c>
      <c r="T250" s="9">
        <f t="shared" si="63"/>
        <v>0</v>
      </c>
    </row>
    <row r="251" spans="1:20" ht="13.5" customHeight="1" hidden="1">
      <c r="A251" s="60" t="s">
        <v>220</v>
      </c>
      <c r="B251" s="58" t="s">
        <v>369</v>
      </c>
      <c r="C251" s="183">
        <v>801</v>
      </c>
      <c r="D251" s="179"/>
      <c r="E251" s="179"/>
      <c r="F251" s="180"/>
      <c r="G251" s="151" t="e">
        <f>G264+G268+#REF!</f>
        <v>#REF!</v>
      </c>
      <c r="H251" s="204"/>
      <c r="I251" s="194"/>
      <c r="J251" s="181"/>
      <c r="K251" s="59" t="e">
        <f>K264+K268+#REF!</f>
        <v>#REF!</v>
      </c>
      <c r="L251" s="59" t="e">
        <f>L264+L268+#REF!</f>
        <v>#REF!</v>
      </c>
      <c r="M251" s="59">
        <f>M252+M254+M256+M260+M262+M268+M258</f>
        <v>121876</v>
      </c>
      <c r="N251" s="59">
        <f>N252+N254+N256+N260+N262+N268+N258</f>
        <v>0</v>
      </c>
      <c r="O251" s="59">
        <f>O252+O254+O256+O260+O262+O268+O258</f>
        <v>0</v>
      </c>
      <c r="P251" s="357">
        <f>P252+P254+P256+P260+P262+P268+P258+P266</f>
        <v>37974</v>
      </c>
      <c r="Q251" s="357">
        <f>Q252+Q254+Q256+Q260+Q262+Q268+Q258+Q266</f>
        <v>0</v>
      </c>
      <c r="R251" s="357">
        <f>R252+R254+R256+R260+R262+R268+R258+R266</f>
        <v>0</v>
      </c>
      <c r="S251" s="343">
        <f>S252+S254+S256+S260+S262+S268+S258+S266</f>
        <v>0</v>
      </c>
      <c r="T251" s="13">
        <f t="shared" si="63"/>
        <v>0</v>
      </c>
    </row>
    <row r="252" spans="1:20" ht="22.5" customHeight="1" hidden="1">
      <c r="A252" s="60" t="s">
        <v>320</v>
      </c>
      <c r="B252" s="58" t="s">
        <v>861</v>
      </c>
      <c r="C252" s="183"/>
      <c r="D252" s="179">
        <v>80102</v>
      </c>
      <c r="E252" s="179"/>
      <c r="F252" s="180"/>
      <c r="G252" s="151"/>
      <c r="H252" s="148"/>
      <c r="I252" s="194"/>
      <c r="J252" s="181"/>
      <c r="K252" s="10"/>
      <c r="L252" s="10"/>
      <c r="M252" s="10">
        <f aca="true" t="shared" si="64" ref="M252:R252">M253</f>
        <v>6017</v>
      </c>
      <c r="N252" s="10">
        <f t="shared" si="64"/>
        <v>0</v>
      </c>
      <c r="O252" s="10">
        <f t="shared" si="64"/>
        <v>0</v>
      </c>
      <c r="P252" s="343">
        <f t="shared" si="64"/>
        <v>0</v>
      </c>
      <c r="Q252" s="343">
        <f t="shared" si="64"/>
        <v>0</v>
      </c>
      <c r="R252" s="343">
        <f t="shared" si="64"/>
        <v>0</v>
      </c>
      <c r="S252" s="11"/>
      <c r="T252" s="13">
        <f t="shared" si="63"/>
        <v>0</v>
      </c>
    </row>
    <row r="253" spans="1:20" ht="22.5" customHeight="1" hidden="1">
      <c r="A253" s="60"/>
      <c r="B253" s="14" t="s">
        <v>401</v>
      </c>
      <c r="C253" s="183"/>
      <c r="D253" s="179"/>
      <c r="E253" s="188">
        <v>213</v>
      </c>
      <c r="F253" s="189"/>
      <c r="G253" s="153"/>
      <c r="H253" s="165"/>
      <c r="I253" s="192"/>
      <c r="J253" s="191"/>
      <c r="K253" s="23"/>
      <c r="L253" s="23"/>
      <c r="M253" s="23">
        <v>6017</v>
      </c>
      <c r="N253" s="23">
        <v>0</v>
      </c>
      <c r="O253" s="23">
        <v>0</v>
      </c>
      <c r="P253" s="263">
        <v>0</v>
      </c>
      <c r="Q253" s="263">
        <v>0</v>
      </c>
      <c r="R253" s="263">
        <v>0</v>
      </c>
      <c r="S253" s="11"/>
      <c r="T253" s="13">
        <f t="shared" si="63"/>
        <v>0</v>
      </c>
    </row>
    <row r="254" spans="1:20" ht="22.5" customHeight="1" hidden="1">
      <c r="A254" s="60" t="s">
        <v>330</v>
      </c>
      <c r="B254" s="58" t="s">
        <v>871</v>
      </c>
      <c r="C254" s="183"/>
      <c r="D254" s="179">
        <v>80111</v>
      </c>
      <c r="E254" s="179"/>
      <c r="F254" s="180"/>
      <c r="G254" s="151"/>
      <c r="H254" s="148"/>
      <c r="I254" s="194"/>
      <c r="J254" s="181"/>
      <c r="K254" s="10"/>
      <c r="L254" s="10"/>
      <c r="M254" s="10">
        <f aca="true" t="shared" si="65" ref="M254:R254">M255</f>
        <v>6020</v>
      </c>
      <c r="N254" s="10">
        <f t="shared" si="65"/>
        <v>0</v>
      </c>
      <c r="O254" s="10">
        <f t="shared" si="65"/>
        <v>0</v>
      </c>
      <c r="P254" s="343">
        <f t="shared" si="65"/>
        <v>0</v>
      </c>
      <c r="Q254" s="343">
        <f t="shared" si="65"/>
        <v>0</v>
      </c>
      <c r="R254" s="343">
        <f t="shared" si="65"/>
        <v>0</v>
      </c>
      <c r="S254" s="11"/>
      <c r="T254" s="13">
        <f t="shared" si="63"/>
        <v>0</v>
      </c>
    </row>
    <row r="255" spans="1:20" ht="22.5" customHeight="1" hidden="1">
      <c r="A255" s="60"/>
      <c r="B255" s="14" t="s">
        <v>401</v>
      </c>
      <c r="C255" s="183"/>
      <c r="D255" s="179"/>
      <c r="E255" s="188">
        <v>213</v>
      </c>
      <c r="F255" s="189"/>
      <c r="G255" s="153"/>
      <c r="H255" s="165"/>
      <c r="I255" s="192"/>
      <c r="J255" s="191"/>
      <c r="K255" s="23"/>
      <c r="L255" s="23"/>
      <c r="M255" s="23">
        <v>6020</v>
      </c>
      <c r="N255" s="23">
        <v>0</v>
      </c>
      <c r="O255" s="23">
        <v>0</v>
      </c>
      <c r="P255" s="263">
        <v>0</v>
      </c>
      <c r="Q255" s="263">
        <v>0</v>
      </c>
      <c r="R255" s="263">
        <v>0</v>
      </c>
      <c r="S255" s="11"/>
      <c r="T255" s="13">
        <f aca="true" t="shared" si="66" ref="T255:T283">S255/$S$400</f>
        <v>0</v>
      </c>
    </row>
    <row r="256" spans="1:20" ht="22.5" customHeight="1" hidden="1">
      <c r="A256" s="60" t="s">
        <v>372</v>
      </c>
      <c r="B256" s="58" t="s">
        <v>503</v>
      </c>
      <c r="C256" s="183"/>
      <c r="D256" s="179">
        <v>80120</v>
      </c>
      <c r="E256" s="179"/>
      <c r="F256" s="180"/>
      <c r="G256" s="151"/>
      <c r="H256" s="148"/>
      <c r="I256" s="194"/>
      <c r="J256" s="181"/>
      <c r="K256" s="10"/>
      <c r="L256" s="10"/>
      <c r="M256" s="10">
        <f aca="true" t="shared" si="67" ref="M256:R256">M257</f>
        <v>16315</v>
      </c>
      <c r="N256" s="10">
        <f t="shared" si="67"/>
        <v>0</v>
      </c>
      <c r="O256" s="10">
        <f t="shared" si="67"/>
        <v>0</v>
      </c>
      <c r="P256" s="343">
        <f t="shared" si="67"/>
        <v>0</v>
      </c>
      <c r="Q256" s="343">
        <f t="shared" si="67"/>
        <v>0</v>
      </c>
      <c r="R256" s="343">
        <f t="shared" si="67"/>
        <v>0</v>
      </c>
      <c r="S256" s="11"/>
      <c r="T256" s="13">
        <f t="shared" si="66"/>
        <v>0</v>
      </c>
    </row>
    <row r="257" spans="1:20" ht="22.5" customHeight="1" hidden="1">
      <c r="A257" s="60"/>
      <c r="B257" s="14" t="s">
        <v>401</v>
      </c>
      <c r="C257" s="183"/>
      <c r="D257" s="179"/>
      <c r="E257" s="188">
        <v>213</v>
      </c>
      <c r="F257" s="189"/>
      <c r="G257" s="153"/>
      <c r="H257" s="165"/>
      <c r="I257" s="192"/>
      <c r="J257" s="191"/>
      <c r="K257" s="23"/>
      <c r="L257" s="23"/>
      <c r="M257" s="23">
        <v>16315</v>
      </c>
      <c r="N257" s="23">
        <v>0</v>
      </c>
      <c r="O257" s="23">
        <v>0</v>
      </c>
      <c r="P257" s="263">
        <v>0</v>
      </c>
      <c r="Q257" s="263">
        <v>0</v>
      </c>
      <c r="R257" s="263">
        <v>0</v>
      </c>
      <c r="S257" s="11"/>
      <c r="T257" s="13">
        <f t="shared" si="66"/>
        <v>0</v>
      </c>
    </row>
    <row r="258" spans="1:20" ht="22.5" customHeight="1" hidden="1">
      <c r="A258" s="60" t="s">
        <v>375</v>
      </c>
      <c r="B258" s="58" t="s">
        <v>884</v>
      </c>
      <c r="C258" s="183"/>
      <c r="D258" s="179">
        <v>80130</v>
      </c>
      <c r="E258" s="179"/>
      <c r="F258" s="180"/>
      <c r="G258" s="151"/>
      <c r="H258" s="148"/>
      <c r="I258" s="194"/>
      <c r="J258" s="181"/>
      <c r="K258" s="10"/>
      <c r="L258" s="10"/>
      <c r="M258" s="10">
        <f aca="true" t="shared" si="68" ref="M258:R258">M259</f>
        <v>58785</v>
      </c>
      <c r="N258" s="10">
        <f t="shared" si="68"/>
        <v>0</v>
      </c>
      <c r="O258" s="10">
        <f t="shared" si="68"/>
        <v>0</v>
      </c>
      <c r="P258" s="343">
        <f t="shared" si="68"/>
        <v>0</v>
      </c>
      <c r="Q258" s="343">
        <f t="shared" si="68"/>
        <v>0</v>
      </c>
      <c r="R258" s="343">
        <f t="shared" si="68"/>
        <v>0</v>
      </c>
      <c r="S258" s="11"/>
      <c r="T258" s="13">
        <f t="shared" si="66"/>
        <v>0</v>
      </c>
    </row>
    <row r="259" spans="1:20" ht="22.5" customHeight="1" hidden="1">
      <c r="A259" s="60"/>
      <c r="B259" s="14" t="s">
        <v>401</v>
      </c>
      <c r="C259" s="183"/>
      <c r="D259" s="179"/>
      <c r="E259" s="188">
        <v>213</v>
      </c>
      <c r="F259" s="189"/>
      <c r="G259" s="153"/>
      <c r="H259" s="165"/>
      <c r="I259" s="192"/>
      <c r="J259" s="191"/>
      <c r="K259" s="23"/>
      <c r="L259" s="23"/>
      <c r="M259" s="23">
        <v>58785</v>
      </c>
      <c r="N259" s="23">
        <v>0</v>
      </c>
      <c r="O259" s="23">
        <v>0</v>
      </c>
      <c r="P259" s="263">
        <v>0</v>
      </c>
      <c r="Q259" s="263">
        <v>0</v>
      </c>
      <c r="R259" s="263">
        <v>0</v>
      </c>
      <c r="S259" s="11"/>
      <c r="T259" s="13">
        <f t="shared" si="66"/>
        <v>0</v>
      </c>
    </row>
    <row r="260" spans="1:20" ht="22.5" customHeight="1" hidden="1">
      <c r="A260" s="60" t="s">
        <v>375</v>
      </c>
      <c r="B260" s="58" t="s">
        <v>504</v>
      </c>
      <c r="C260" s="183"/>
      <c r="D260" s="179">
        <v>80133</v>
      </c>
      <c r="E260" s="179"/>
      <c r="F260" s="180"/>
      <c r="G260" s="151"/>
      <c r="H260" s="148"/>
      <c r="I260" s="194"/>
      <c r="J260" s="181"/>
      <c r="K260" s="10"/>
      <c r="L260" s="10"/>
      <c r="M260" s="10">
        <f aca="true" t="shared" si="69" ref="M260:R260">M261</f>
        <v>1970</v>
      </c>
      <c r="N260" s="10">
        <f t="shared" si="69"/>
        <v>0</v>
      </c>
      <c r="O260" s="10">
        <f t="shared" si="69"/>
        <v>0</v>
      </c>
      <c r="P260" s="343">
        <f t="shared" si="69"/>
        <v>0</v>
      </c>
      <c r="Q260" s="343">
        <f t="shared" si="69"/>
        <v>0</v>
      </c>
      <c r="R260" s="343">
        <f t="shared" si="69"/>
        <v>0</v>
      </c>
      <c r="S260" s="11"/>
      <c r="T260" s="13">
        <f t="shared" si="66"/>
        <v>0</v>
      </c>
    </row>
    <row r="261" spans="1:20" ht="22.5" customHeight="1" hidden="1">
      <c r="A261" s="60"/>
      <c r="B261" s="14" t="s">
        <v>401</v>
      </c>
      <c r="C261" s="183"/>
      <c r="D261" s="179"/>
      <c r="E261" s="188">
        <v>213</v>
      </c>
      <c r="F261" s="189"/>
      <c r="G261" s="153"/>
      <c r="H261" s="165"/>
      <c r="I261" s="192"/>
      <c r="J261" s="191"/>
      <c r="K261" s="23"/>
      <c r="L261" s="23"/>
      <c r="M261" s="23">
        <v>1970</v>
      </c>
      <c r="N261" s="23">
        <v>0</v>
      </c>
      <c r="O261" s="23">
        <v>0</v>
      </c>
      <c r="P261" s="263">
        <v>0</v>
      </c>
      <c r="Q261" s="263">
        <v>0</v>
      </c>
      <c r="R261" s="263">
        <v>0</v>
      </c>
      <c r="S261" s="11"/>
      <c r="T261" s="13">
        <f t="shared" si="66"/>
        <v>0</v>
      </c>
    </row>
    <row r="262" spans="1:20" ht="22.5" customHeight="1" hidden="1">
      <c r="A262" s="60" t="s">
        <v>377</v>
      </c>
      <c r="B262" s="58" t="s">
        <v>907</v>
      </c>
      <c r="C262" s="183"/>
      <c r="D262" s="179">
        <v>80134</v>
      </c>
      <c r="E262" s="179"/>
      <c r="F262" s="180"/>
      <c r="G262" s="151"/>
      <c r="H262" s="148"/>
      <c r="I262" s="194"/>
      <c r="J262" s="181"/>
      <c r="K262" s="10"/>
      <c r="L262" s="10"/>
      <c r="M262" s="10">
        <f aca="true" t="shared" si="70" ref="M262:R262">M263</f>
        <v>3005</v>
      </c>
      <c r="N262" s="10">
        <f t="shared" si="70"/>
        <v>0</v>
      </c>
      <c r="O262" s="10">
        <f t="shared" si="70"/>
        <v>0</v>
      </c>
      <c r="P262" s="343">
        <f t="shared" si="70"/>
        <v>0</v>
      </c>
      <c r="Q262" s="343">
        <f t="shared" si="70"/>
        <v>0</v>
      </c>
      <c r="R262" s="343">
        <f t="shared" si="70"/>
        <v>0</v>
      </c>
      <c r="S262" s="11"/>
      <c r="T262" s="13">
        <f t="shared" si="66"/>
        <v>0</v>
      </c>
    </row>
    <row r="263" spans="1:20" ht="22.5" customHeight="1" hidden="1">
      <c r="A263" s="60"/>
      <c r="B263" s="14" t="s">
        <v>401</v>
      </c>
      <c r="C263" s="183"/>
      <c r="D263" s="179"/>
      <c r="E263" s="188">
        <v>213</v>
      </c>
      <c r="F263" s="189"/>
      <c r="G263" s="153"/>
      <c r="H263" s="165"/>
      <c r="I263" s="192"/>
      <c r="J263" s="191"/>
      <c r="K263" s="23"/>
      <c r="L263" s="23"/>
      <c r="M263" s="23">
        <v>3005</v>
      </c>
      <c r="N263" s="23">
        <v>0</v>
      </c>
      <c r="O263" s="23">
        <v>0</v>
      </c>
      <c r="P263" s="263">
        <v>0</v>
      </c>
      <c r="Q263" s="263">
        <v>0</v>
      </c>
      <c r="R263" s="263">
        <v>0</v>
      </c>
      <c r="S263" s="11"/>
      <c r="T263" s="13">
        <f t="shared" si="66"/>
        <v>0</v>
      </c>
    </row>
    <row r="264" spans="1:20" ht="22.5" customHeight="1" hidden="1">
      <c r="A264" s="193" t="s">
        <v>330</v>
      </c>
      <c r="B264" s="62" t="s">
        <v>889</v>
      </c>
      <c r="C264" s="178"/>
      <c r="D264" s="184">
        <v>80131</v>
      </c>
      <c r="E264" s="184"/>
      <c r="F264" s="189"/>
      <c r="G264" s="153">
        <f>G265</f>
        <v>494000</v>
      </c>
      <c r="H264" s="154"/>
      <c r="I264" s="192"/>
      <c r="J264" s="45"/>
      <c r="K264" s="11">
        <f>K265</f>
        <v>0</v>
      </c>
      <c r="L264" s="11">
        <f>L265</f>
        <v>494000</v>
      </c>
      <c r="M264" s="11">
        <f>M265</f>
        <v>0</v>
      </c>
      <c r="N264" s="11"/>
      <c r="O264" s="11"/>
      <c r="P264" s="263"/>
      <c r="Q264" s="263"/>
      <c r="R264" s="263"/>
      <c r="S264" s="11"/>
      <c r="T264" s="13">
        <f t="shared" si="66"/>
        <v>0</v>
      </c>
    </row>
    <row r="265" spans="1:20" ht="22.5" customHeight="1" hidden="1">
      <c r="A265" s="193"/>
      <c r="B265" s="62" t="s">
        <v>403</v>
      </c>
      <c r="C265" s="178"/>
      <c r="D265" s="184"/>
      <c r="E265" s="184">
        <v>643</v>
      </c>
      <c r="F265" s="189"/>
      <c r="G265" s="153">
        <v>494000</v>
      </c>
      <c r="H265" s="154"/>
      <c r="I265" s="192"/>
      <c r="J265" s="45"/>
      <c r="K265" s="11">
        <v>0</v>
      </c>
      <c r="L265" s="11">
        <v>494000</v>
      </c>
      <c r="M265" s="11">
        <v>0</v>
      </c>
      <c r="N265" s="11"/>
      <c r="O265" s="11"/>
      <c r="P265" s="263"/>
      <c r="Q265" s="263"/>
      <c r="R265" s="263"/>
      <c r="S265" s="11"/>
      <c r="T265" s="13">
        <f t="shared" si="66"/>
        <v>0</v>
      </c>
    </row>
    <row r="266" spans="1:20" ht="16.5" customHeight="1" hidden="1">
      <c r="A266" s="60" t="s">
        <v>625</v>
      </c>
      <c r="B266" s="58" t="s">
        <v>626</v>
      </c>
      <c r="C266" s="183"/>
      <c r="D266" s="179">
        <v>80130</v>
      </c>
      <c r="E266" s="179"/>
      <c r="F266" s="180"/>
      <c r="G266" s="151"/>
      <c r="H266" s="148"/>
      <c r="I266" s="194"/>
      <c r="J266" s="181"/>
      <c r="K266" s="10"/>
      <c r="L266" s="10"/>
      <c r="M266" s="10"/>
      <c r="N266" s="10"/>
      <c r="O266" s="10"/>
      <c r="P266" s="343">
        <f>P267</f>
        <v>8544</v>
      </c>
      <c r="Q266" s="343">
        <f>Q267</f>
        <v>0</v>
      </c>
      <c r="R266" s="343">
        <f>R267</f>
        <v>0</v>
      </c>
      <c r="S266" s="343">
        <f>S267</f>
        <v>0</v>
      </c>
      <c r="T266" s="13">
        <f t="shared" si="66"/>
        <v>0</v>
      </c>
    </row>
    <row r="267" spans="1:20" ht="22.5" customHeight="1" hidden="1">
      <c r="A267" s="193"/>
      <c r="B267" s="14" t="s">
        <v>401</v>
      </c>
      <c r="C267" s="178"/>
      <c r="D267" s="184"/>
      <c r="E267" s="184">
        <v>2130</v>
      </c>
      <c r="F267" s="189"/>
      <c r="G267" s="153"/>
      <c r="H267" s="154"/>
      <c r="I267" s="192"/>
      <c r="J267" s="45"/>
      <c r="K267" s="11"/>
      <c r="L267" s="11"/>
      <c r="M267" s="11"/>
      <c r="N267" s="11"/>
      <c r="O267" s="11"/>
      <c r="P267" s="263">
        <v>8544</v>
      </c>
      <c r="Q267" s="263">
        <v>0</v>
      </c>
      <c r="R267" s="263">
        <v>0</v>
      </c>
      <c r="S267" s="11">
        <v>0</v>
      </c>
      <c r="T267" s="9">
        <f t="shared" si="66"/>
        <v>0</v>
      </c>
    </row>
    <row r="268" spans="1:20" ht="15" customHeight="1" hidden="1">
      <c r="A268" s="60" t="s">
        <v>330</v>
      </c>
      <c r="B268" s="58" t="s">
        <v>795</v>
      </c>
      <c r="C268" s="183"/>
      <c r="D268" s="179">
        <v>80195</v>
      </c>
      <c r="E268" s="179"/>
      <c r="F268" s="180"/>
      <c r="G268" s="151">
        <f>G269</f>
        <v>32249</v>
      </c>
      <c r="H268" s="148"/>
      <c r="I268" s="194"/>
      <c r="J268" s="181"/>
      <c r="K268" s="10">
        <f aca="true" t="shared" si="71" ref="K268:S268">K269</f>
        <v>8206</v>
      </c>
      <c r="L268" s="10">
        <f t="shared" si="71"/>
        <v>0</v>
      </c>
      <c r="M268" s="10">
        <f t="shared" si="71"/>
        <v>29764</v>
      </c>
      <c r="N268" s="10">
        <f t="shared" si="71"/>
        <v>0</v>
      </c>
      <c r="O268" s="10">
        <f t="shared" si="71"/>
        <v>0</v>
      </c>
      <c r="P268" s="342">
        <f t="shared" si="71"/>
        <v>29430</v>
      </c>
      <c r="Q268" s="342">
        <f t="shared" si="71"/>
        <v>0</v>
      </c>
      <c r="R268" s="342">
        <f t="shared" si="71"/>
        <v>0</v>
      </c>
      <c r="S268" s="342">
        <f t="shared" si="71"/>
        <v>0</v>
      </c>
      <c r="T268" s="13">
        <f t="shared" si="66"/>
        <v>0</v>
      </c>
    </row>
    <row r="269" spans="1:20" ht="27" customHeight="1" hidden="1">
      <c r="A269" s="193"/>
      <c r="B269" s="14" t="s">
        <v>401</v>
      </c>
      <c r="C269" s="178"/>
      <c r="D269" s="184"/>
      <c r="E269" s="184">
        <v>2130</v>
      </c>
      <c r="F269" s="189"/>
      <c r="G269" s="153">
        <v>32249</v>
      </c>
      <c r="H269" s="154"/>
      <c r="I269" s="192"/>
      <c r="J269" s="45"/>
      <c r="K269" s="11">
        <v>8206</v>
      </c>
      <c r="L269" s="11">
        <v>0</v>
      </c>
      <c r="M269" s="11">
        <v>29764</v>
      </c>
      <c r="N269" s="11">
        <v>0</v>
      </c>
      <c r="O269" s="11">
        <v>0</v>
      </c>
      <c r="P269" s="263">
        <v>29430</v>
      </c>
      <c r="Q269" s="263">
        <v>0</v>
      </c>
      <c r="R269" s="263">
        <v>0</v>
      </c>
      <c r="S269" s="11">
        <v>0</v>
      </c>
      <c r="T269" s="9">
        <f t="shared" si="66"/>
        <v>0</v>
      </c>
    </row>
    <row r="270" spans="1:20" ht="16.5" customHeight="1" hidden="1">
      <c r="A270" s="60" t="s">
        <v>222</v>
      </c>
      <c r="B270" s="58" t="s">
        <v>373</v>
      </c>
      <c r="C270" s="183">
        <v>851</v>
      </c>
      <c r="D270" s="179"/>
      <c r="E270" s="179"/>
      <c r="F270" s="180"/>
      <c r="G270" s="151"/>
      <c r="H270" s="148"/>
      <c r="I270" s="194"/>
      <c r="J270" s="181"/>
      <c r="K270" s="10"/>
      <c r="L270" s="10"/>
      <c r="M270" s="10"/>
      <c r="N270" s="10"/>
      <c r="O270" s="10"/>
      <c r="P270" s="343">
        <f aca="true" t="shared" si="72" ref="P270:S271">P271</f>
        <v>0</v>
      </c>
      <c r="Q270" s="343">
        <f t="shared" si="72"/>
        <v>48298</v>
      </c>
      <c r="R270" s="343">
        <f t="shared" si="72"/>
        <v>0</v>
      </c>
      <c r="S270" s="343">
        <f t="shared" si="72"/>
        <v>0</v>
      </c>
      <c r="T270" s="13">
        <f t="shared" si="66"/>
        <v>0</v>
      </c>
    </row>
    <row r="271" spans="1:20" ht="36.75" customHeight="1" hidden="1">
      <c r="A271" s="60" t="s">
        <v>320</v>
      </c>
      <c r="B271" s="58" t="s">
        <v>942</v>
      </c>
      <c r="C271" s="183"/>
      <c r="D271" s="179">
        <v>85111</v>
      </c>
      <c r="E271" s="179"/>
      <c r="F271" s="180"/>
      <c r="G271" s="151"/>
      <c r="H271" s="148"/>
      <c r="I271" s="194"/>
      <c r="J271" s="181"/>
      <c r="K271" s="10"/>
      <c r="L271" s="10"/>
      <c r="M271" s="10"/>
      <c r="N271" s="10"/>
      <c r="O271" s="10"/>
      <c r="P271" s="343">
        <f t="shared" si="72"/>
        <v>0</v>
      </c>
      <c r="Q271" s="343">
        <f t="shared" si="72"/>
        <v>48298</v>
      </c>
      <c r="R271" s="343">
        <f t="shared" si="72"/>
        <v>0</v>
      </c>
      <c r="S271" s="343">
        <f t="shared" si="72"/>
        <v>0</v>
      </c>
      <c r="T271" s="13">
        <f t="shared" si="66"/>
        <v>0</v>
      </c>
    </row>
    <row r="272" spans="1:20" ht="62.25" customHeight="1" hidden="1">
      <c r="A272" s="193"/>
      <c r="B272" s="14" t="s">
        <v>401</v>
      </c>
      <c r="C272" s="178"/>
      <c r="D272" s="184"/>
      <c r="E272" s="184">
        <v>2130</v>
      </c>
      <c r="F272" s="189"/>
      <c r="G272" s="153"/>
      <c r="H272" s="154"/>
      <c r="I272" s="192"/>
      <c r="J272" s="45"/>
      <c r="K272" s="11"/>
      <c r="L272" s="11"/>
      <c r="M272" s="11"/>
      <c r="N272" s="11"/>
      <c r="O272" s="11"/>
      <c r="P272" s="263">
        <v>0</v>
      </c>
      <c r="Q272" s="263">
        <v>48298</v>
      </c>
      <c r="R272" s="263">
        <v>0</v>
      </c>
      <c r="S272" s="11">
        <v>0</v>
      </c>
      <c r="T272" s="9">
        <f t="shared" si="66"/>
        <v>0</v>
      </c>
    </row>
    <row r="273" spans="1:20" ht="15.75" customHeight="1">
      <c r="A273" s="60">
        <v>1</v>
      </c>
      <c r="B273" s="150" t="s">
        <v>833</v>
      </c>
      <c r="C273" s="86">
        <v>852</v>
      </c>
      <c r="D273" s="36"/>
      <c r="E273" s="36"/>
      <c r="F273" s="8">
        <f>F274+F276+F278+F295</f>
        <v>3007060</v>
      </c>
      <c r="G273" s="151">
        <f>G274+G276+G278+G280+G295+G325</f>
        <v>3917880</v>
      </c>
      <c r="H273" s="148">
        <f aca="true" t="shared" si="73" ref="H273:H279">IF(F273&gt;0,G273/F273*100,"")</f>
        <v>130.28938564578024</v>
      </c>
      <c r="I273" s="13" t="e">
        <f>F273/F400</f>
        <v>#REF!</v>
      </c>
      <c r="J273" s="181"/>
      <c r="K273" s="10">
        <f aca="true" t="shared" si="74" ref="K273:R273">K274+K276+K278+K280+K295+K325</f>
        <v>25344</v>
      </c>
      <c r="L273" s="10">
        <f t="shared" si="74"/>
        <v>0</v>
      </c>
      <c r="M273" s="10">
        <f t="shared" si="74"/>
        <v>2138577</v>
      </c>
      <c r="N273" s="10">
        <f t="shared" si="74"/>
        <v>49192</v>
      </c>
      <c r="O273" s="10">
        <f t="shared" si="74"/>
        <v>44006</v>
      </c>
      <c r="P273" s="342">
        <f t="shared" si="74"/>
        <v>2194034</v>
      </c>
      <c r="Q273" s="342">
        <f t="shared" si="74"/>
        <v>0</v>
      </c>
      <c r="R273" s="342">
        <f t="shared" si="74"/>
        <v>0</v>
      </c>
      <c r="S273" s="342">
        <f>S274+S276</f>
        <v>578000</v>
      </c>
      <c r="T273" s="13">
        <f t="shared" si="66"/>
        <v>0.02059025639144001</v>
      </c>
    </row>
    <row r="274" spans="1:20" ht="15.75" customHeight="1">
      <c r="A274" s="27" t="s">
        <v>320</v>
      </c>
      <c r="B274" s="14" t="s">
        <v>193</v>
      </c>
      <c r="C274" s="36"/>
      <c r="D274" s="86">
        <v>85201</v>
      </c>
      <c r="E274" s="86"/>
      <c r="F274" s="12">
        <f>F275</f>
        <v>2200940</v>
      </c>
      <c r="G274" s="155">
        <f>G275</f>
        <v>2051400</v>
      </c>
      <c r="H274" s="148">
        <f t="shared" si="73"/>
        <v>93.20563032158987</v>
      </c>
      <c r="I274" s="13" t="e">
        <f>F274/F400</f>
        <v>#REF!</v>
      </c>
      <c r="J274" s="181"/>
      <c r="K274" s="10">
        <f aca="true" t="shared" si="75" ref="K274:S274">K275</f>
        <v>0</v>
      </c>
      <c r="L274" s="10">
        <f t="shared" si="75"/>
        <v>0</v>
      </c>
      <c r="M274" s="10">
        <f t="shared" si="75"/>
        <v>840287</v>
      </c>
      <c r="N274" s="10">
        <f t="shared" si="75"/>
        <v>5186</v>
      </c>
      <c r="O274" s="10">
        <f t="shared" si="75"/>
        <v>44006</v>
      </c>
      <c r="P274" s="342">
        <f t="shared" si="75"/>
        <v>721156</v>
      </c>
      <c r="Q274" s="342">
        <f t="shared" si="75"/>
        <v>0</v>
      </c>
      <c r="R274" s="342">
        <f t="shared" si="75"/>
        <v>0</v>
      </c>
      <c r="S274" s="342">
        <f t="shared" si="75"/>
        <v>0</v>
      </c>
      <c r="T274" s="13">
        <f t="shared" si="66"/>
        <v>0</v>
      </c>
    </row>
    <row r="275" spans="1:20" ht="23.25" customHeight="1">
      <c r="A275" s="27"/>
      <c r="B275" s="14" t="s">
        <v>401</v>
      </c>
      <c r="C275" s="36"/>
      <c r="D275" s="36"/>
      <c r="E275" s="36">
        <v>2130</v>
      </c>
      <c r="F275" s="8">
        <v>2200940</v>
      </c>
      <c r="G275" s="156">
        <v>2051400</v>
      </c>
      <c r="H275" s="154">
        <f t="shared" si="73"/>
        <v>93.20563032158987</v>
      </c>
      <c r="I275" s="9" t="e">
        <f>F275/F400</f>
        <v>#REF!</v>
      </c>
      <c r="J275" s="45"/>
      <c r="K275" s="11">
        <v>0</v>
      </c>
      <c r="L275" s="11">
        <v>0</v>
      </c>
      <c r="M275" s="11">
        <v>840287</v>
      </c>
      <c r="N275" s="11">
        <v>5186</v>
      </c>
      <c r="O275" s="11">
        <v>44006</v>
      </c>
      <c r="P275" s="263">
        <v>721156</v>
      </c>
      <c r="Q275" s="263">
        <v>0</v>
      </c>
      <c r="R275" s="263">
        <v>0</v>
      </c>
      <c r="S275" s="11">
        <v>0</v>
      </c>
      <c r="T275" s="9">
        <f t="shared" si="66"/>
        <v>0</v>
      </c>
    </row>
    <row r="276" spans="1:20" ht="15.75" customHeight="1">
      <c r="A276" s="27" t="s">
        <v>330</v>
      </c>
      <c r="B276" s="14" t="s">
        <v>39</v>
      </c>
      <c r="C276" s="36"/>
      <c r="D276" s="86">
        <v>85202</v>
      </c>
      <c r="E276" s="86"/>
      <c r="F276" s="12">
        <f>F277</f>
        <v>567120</v>
      </c>
      <c r="G276" s="155">
        <f>G277</f>
        <v>476480</v>
      </c>
      <c r="H276" s="148">
        <f t="shared" si="73"/>
        <v>84.01749188884186</v>
      </c>
      <c r="I276" s="148" t="e">
        <f>F276/F400</f>
        <v>#REF!</v>
      </c>
      <c r="J276" s="181"/>
      <c r="K276" s="10">
        <f aca="true" t="shared" si="76" ref="K276:S276">K277</f>
        <v>25344</v>
      </c>
      <c r="L276" s="10">
        <f t="shared" si="76"/>
        <v>0</v>
      </c>
      <c r="M276" s="10">
        <f t="shared" si="76"/>
        <v>556758</v>
      </c>
      <c r="N276" s="10">
        <f t="shared" si="76"/>
        <v>0</v>
      </c>
      <c r="O276" s="10">
        <f t="shared" si="76"/>
        <v>0</v>
      </c>
      <c r="P276" s="342">
        <f t="shared" si="76"/>
        <v>559000</v>
      </c>
      <c r="Q276" s="342">
        <f t="shared" si="76"/>
        <v>0</v>
      </c>
      <c r="R276" s="342">
        <f t="shared" si="76"/>
        <v>0</v>
      </c>
      <c r="S276" s="342">
        <f t="shared" si="76"/>
        <v>578000</v>
      </c>
      <c r="T276" s="13">
        <f t="shared" si="66"/>
        <v>0.02059025639144001</v>
      </c>
    </row>
    <row r="277" spans="1:20" ht="23.25" customHeight="1">
      <c r="A277" s="27"/>
      <c r="B277" s="14" t="s">
        <v>401</v>
      </c>
      <c r="C277" s="36"/>
      <c r="D277" s="36"/>
      <c r="E277" s="36">
        <v>2130</v>
      </c>
      <c r="F277" s="8">
        <v>567120</v>
      </c>
      <c r="G277" s="156">
        <v>476480</v>
      </c>
      <c r="H277" s="154">
        <f t="shared" si="73"/>
        <v>84.01749188884186</v>
      </c>
      <c r="I277" s="154" t="e">
        <f>F277/F400</f>
        <v>#REF!</v>
      </c>
      <c r="J277" s="45"/>
      <c r="K277" s="11">
        <v>25344</v>
      </c>
      <c r="L277" s="11">
        <v>0</v>
      </c>
      <c r="M277" s="11">
        <v>556758</v>
      </c>
      <c r="N277" s="11">
        <v>0</v>
      </c>
      <c r="O277" s="11">
        <v>0</v>
      </c>
      <c r="P277" s="263">
        <v>559000</v>
      </c>
      <c r="Q277" s="263">
        <v>0</v>
      </c>
      <c r="R277" s="263">
        <v>0</v>
      </c>
      <c r="S277" s="11">
        <v>578000</v>
      </c>
      <c r="T277" s="9">
        <f t="shared" si="66"/>
        <v>0.02059025639144001</v>
      </c>
    </row>
    <row r="278" spans="1:20" ht="24" customHeight="1" hidden="1">
      <c r="A278" s="54" t="s">
        <v>372</v>
      </c>
      <c r="B278" s="115" t="s">
        <v>194</v>
      </c>
      <c r="C278" s="160"/>
      <c r="D278" s="167">
        <v>85204</v>
      </c>
      <c r="E278" s="167"/>
      <c r="F278" s="171">
        <f>F279</f>
        <v>0</v>
      </c>
      <c r="G278" s="201">
        <f>G279</f>
        <v>1138000</v>
      </c>
      <c r="H278" s="203">
        <f t="shared" si="73"/>
      </c>
      <c r="I278" s="203" t="e">
        <f>F278/F400</f>
        <v>#REF!</v>
      </c>
      <c r="J278" s="181"/>
      <c r="K278" s="135">
        <f aca="true" t="shared" si="77" ref="K278:S278">K279</f>
        <v>0</v>
      </c>
      <c r="L278" s="135">
        <f t="shared" si="77"/>
        <v>0</v>
      </c>
      <c r="M278" s="135">
        <f t="shared" si="77"/>
        <v>586848</v>
      </c>
      <c r="N278" s="135">
        <f t="shared" si="77"/>
        <v>44006</v>
      </c>
      <c r="O278" s="135">
        <f t="shared" si="77"/>
        <v>0</v>
      </c>
      <c r="P278" s="351">
        <f t="shared" si="77"/>
        <v>728506</v>
      </c>
      <c r="Q278" s="351">
        <f t="shared" si="77"/>
        <v>0</v>
      </c>
      <c r="R278" s="351">
        <f t="shared" si="77"/>
        <v>0</v>
      </c>
      <c r="S278" s="342">
        <f t="shared" si="77"/>
        <v>0</v>
      </c>
      <c r="T278" s="13">
        <f t="shared" si="66"/>
        <v>0</v>
      </c>
    </row>
    <row r="279" spans="1:20" ht="24" customHeight="1" hidden="1">
      <c r="A279" s="27"/>
      <c r="B279" s="14" t="s">
        <v>401</v>
      </c>
      <c r="C279" s="36"/>
      <c r="D279" s="36"/>
      <c r="E279" s="36">
        <v>2130</v>
      </c>
      <c r="F279" s="8">
        <v>0</v>
      </c>
      <c r="G279" s="156">
        <v>1138000</v>
      </c>
      <c r="H279" s="154">
        <f t="shared" si="73"/>
      </c>
      <c r="I279" s="154" t="e">
        <f>F279/F400</f>
        <v>#REF!</v>
      </c>
      <c r="J279" s="11"/>
      <c r="K279" s="11">
        <v>0</v>
      </c>
      <c r="L279" s="11">
        <v>0</v>
      </c>
      <c r="M279" s="11">
        <v>586848</v>
      </c>
      <c r="N279" s="11">
        <v>44006</v>
      </c>
      <c r="O279" s="11">
        <v>0</v>
      </c>
      <c r="P279" s="11">
        <v>728506</v>
      </c>
      <c r="Q279" s="11">
        <v>0</v>
      </c>
      <c r="R279" s="11">
        <v>0</v>
      </c>
      <c r="S279" s="11">
        <v>0</v>
      </c>
      <c r="T279" s="9">
        <f t="shared" si="66"/>
        <v>0</v>
      </c>
    </row>
    <row r="280" spans="1:20" ht="24" customHeight="1" hidden="1">
      <c r="A280" s="27" t="s">
        <v>375</v>
      </c>
      <c r="B280" s="14" t="s">
        <v>49</v>
      </c>
      <c r="C280" s="36"/>
      <c r="D280" s="86">
        <v>85226</v>
      </c>
      <c r="E280" s="86"/>
      <c r="F280" s="12"/>
      <c r="G280" s="155">
        <f>G281</f>
        <v>22000</v>
      </c>
      <c r="H280" s="148"/>
      <c r="I280" s="148"/>
      <c r="J280" s="10"/>
      <c r="K280" s="10">
        <f aca="true" t="shared" si="78" ref="K280:S280">K281</f>
        <v>0</v>
      </c>
      <c r="L280" s="10">
        <f t="shared" si="78"/>
        <v>0</v>
      </c>
      <c r="M280" s="10">
        <f t="shared" si="78"/>
        <v>41784</v>
      </c>
      <c r="N280" s="10">
        <f t="shared" si="78"/>
        <v>0</v>
      </c>
      <c r="O280" s="10">
        <f t="shared" si="78"/>
        <v>0</v>
      </c>
      <c r="P280" s="196">
        <f t="shared" si="78"/>
        <v>70901</v>
      </c>
      <c r="Q280" s="196">
        <f t="shared" si="78"/>
        <v>0</v>
      </c>
      <c r="R280" s="196">
        <f t="shared" si="78"/>
        <v>0</v>
      </c>
      <c r="S280" s="342">
        <f t="shared" si="78"/>
        <v>0</v>
      </c>
      <c r="T280" s="13">
        <f t="shared" si="66"/>
        <v>0</v>
      </c>
    </row>
    <row r="281" spans="1:20" ht="24" customHeight="1" hidden="1">
      <c r="A281" s="27"/>
      <c r="B281" s="14" t="s">
        <v>401</v>
      </c>
      <c r="C281" s="36"/>
      <c r="D281" s="36"/>
      <c r="E281" s="36">
        <v>2130</v>
      </c>
      <c r="F281" s="8"/>
      <c r="G281" s="156">
        <v>22000</v>
      </c>
      <c r="H281" s="154"/>
      <c r="I281" s="154"/>
      <c r="J281" s="11"/>
      <c r="K281" s="11">
        <v>0</v>
      </c>
      <c r="L281" s="11">
        <v>0</v>
      </c>
      <c r="M281" s="11">
        <v>41784</v>
      </c>
      <c r="N281" s="11">
        <v>0</v>
      </c>
      <c r="O281" s="11">
        <v>0</v>
      </c>
      <c r="P281" s="11">
        <v>70901</v>
      </c>
      <c r="Q281" s="11">
        <v>0</v>
      </c>
      <c r="R281" s="11">
        <v>0</v>
      </c>
      <c r="S281" s="11">
        <v>0</v>
      </c>
      <c r="T281" s="9">
        <f t="shared" si="66"/>
        <v>0</v>
      </c>
    </row>
    <row r="282" spans="1:20" ht="24" customHeight="1" hidden="1">
      <c r="A282" s="24" t="s">
        <v>377</v>
      </c>
      <c r="B282" s="32" t="s">
        <v>795</v>
      </c>
      <c r="C282" s="34"/>
      <c r="D282" s="30" t="s">
        <v>838</v>
      </c>
      <c r="E282" s="30"/>
      <c r="F282" s="12"/>
      <c r="G282" s="155">
        <f>G283</f>
        <v>6515</v>
      </c>
      <c r="H282" s="148"/>
      <c r="I282" s="13"/>
      <c r="J282" s="10"/>
      <c r="K282" s="10">
        <f aca="true" t="shared" si="79" ref="K282:S282">K283</f>
        <v>3292</v>
      </c>
      <c r="L282" s="10">
        <f t="shared" si="79"/>
        <v>0</v>
      </c>
      <c r="M282" s="10">
        <f t="shared" si="79"/>
        <v>2887</v>
      </c>
      <c r="N282" s="10">
        <f t="shared" si="79"/>
        <v>0</v>
      </c>
      <c r="O282" s="10">
        <f t="shared" si="79"/>
        <v>0</v>
      </c>
      <c r="P282" s="196">
        <f t="shared" si="79"/>
        <v>2885</v>
      </c>
      <c r="Q282" s="196">
        <f t="shared" si="79"/>
        <v>0</v>
      </c>
      <c r="R282" s="196">
        <f t="shared" si="79"/>
        <v>0</v>
      </c>
      <c r="S282" s="342">
        <f t="shared" si="79"/>
        <v>0</v>
      </c>
      <c r="T282" s="13">
        <f t="shared" si="66"/>
        <v>0</v>
      </c>
    </row>
    <row r="283" spans="1:20" ht="24" customHeight="1" hidden="1" thickBot="1">
      <c r="A283" s="91"/>
      <c r="B283" s="115" t="s">
        <v>401</v>
      </c>
      <c r="C283" s="378"/>
      <c r="D283" s="378"/>
      <c r="E283" s="378" t="s">
        <v>520</v>
      </c>
      <c r="F283" s="379"/>
      <c r="G283" s="172">
        <v>6515</v>
      </c>
      <c r="H283" s="371"/>
      <c r="I283" s="174"/>
      <c r="J283" s="107"/>
      <c r="K283" s="107">
        <v>3292</v>
      </c>
      <c r="L283" s="107">
        <v>0</v>
      </c>
      <c r="M283" s="107">
        <v>2887</v>
      </c>
      <c r="N283" s="107">
        <v>0</v>
      </c>
      <c r="O283" s="107">
        <v>0</v>
      </c>
      <c r="P283" s="107">
        <v>2885</v>
      </c>
      <c r="Q283" s="107">
        <v>0</v>
      </c>
      <c r="R283" s="107">
        <v>0</v>
      </c>
      <c r="S283" s="107">
        <v>0</v>
      </c>
      <c r="T283" s="163">
        <f t="shared" si="66"/>
        <v>0</v>
      </c>
    </row>
    <row r="284" spans="1:20" ht="24" customHeight="1" hidden="1">
      <c r="A284" s="63" t="s">
        <v>320</v>
      </c>
      <c r="B284" s="62" t="s">
        <v>193</v>
      </c>
      <c r="C284" s="184"/>
      <c r="D284" s="179">
        <v>85301</v>
      </c>
      <c r="E284" s="179"/>
      <c r="F284" s="373">
        <f>F285</f>
        <v>2200940</v>
      </c>
      <c r="G284" s="151">
        <f>G285</f>
        <v>2051400</v>
      </c>
      <c r="H284" s="204">
        <f aca="true" t="shared" si="80" ref="H284:H289">IF(F284&gt;0,G284/F284*100,"")</f>
        <v>93.20563032158987</v>
      </c>
      <c r="I284" s="374" t="e">
        <f>F284/F414</f>
        <v>#DIV/0!</v>
      </c>
      <c r="J284" s="181"/>
      <c r="K284" s="59">
        <f aca="true" t="shared" si="81" ref="K284:S284">K285</f>
        <v>0</v>
      </c>
      <c r="L284" s="59">
        <f t="shared" si="81"/>
        <v>0</v>
      </c>
      <c r="M284" s="59">
        <f t="shared" si="81"/>
        <v>840287</v>
      </c>
      <c r="N284" s="59">
        <f t="shared" si="81"/>
        <v>5186</v>
      </c>
      <c r="O284" s="59">
        <f t="shared" si="81"/>
        <v>44006</v>
      </c>
      <c r="P284" s="375">
        <f t="shared" si="81"/>
        <v>721156</v>
      </c>
      <c r="Q284" s="375">
        <f t="shared" si="81"/>
        <v>0</v>
      </c>
      <c r="R284" s="375">
        <f t="shared" si="81"/>
        <v>0</v>
      </c>
      <c r="S284" s="375">
        <f t="shared" si="81"/>
        <v>0</v>
      </c>
      <c r="T284" s="374">
        <f aca="true" t="shared" si="82" ref="T284:T293">S284/$S$400</f>
        <v>0</v>
      </c>
    </row>
    <row r="285" spans="1:20" ht="24" customHeight="1" hidden="1">
      <c r="A285" s="27"/>
      <c r="B285" s="14" t="s">
        <v>401</v>
      </c>
      <c r="C285" s="36"/>
      <c r="D285" s="36"/>
      <c r="E285" s="36">
        <v>213</v>
      </c>
      <c r="F285" s="8">
        <v>2200940</v>
      </c>
      <c r="G285" s="156">
        <v>2051400</v>
      </c>
      <c r="H285" s="154">
        <f t="shared" si="80"/>
        <v>93.20563032158987</v>
      </c>
      <c r="I285" s="9" t="e">
        <f>F285/F414</f>
        <v>#DIV/0!</v>
      </c>
      <c r="J285" s="45"/>
      <c r="K285" s="11">
        <v>0</v>
      </c>
      <c r="L285" s="11">
        <v>0</v>
      </c>
      <c r="M285" s="11">
        <v>840287</v>
      </c>
      <c r="N285" s="11">
        <v>5186</v>
      </c>
      <c r="O285" s="11">
        <v>44006</v>
      </c>
      <c r="P285" s="263">
        <v>721156</v>
      </c>
      <c r="Q285" s="263">
        <v>0</v>
      </c>
      <c r="R285" s="263">
        <v>0</v>
      </c>
      <c r="S285" s="11">
        <v>0</v>
      </c>
      <c r="T285" s="9">
        <f t="shared" si="82"/>
        <v>0</v>
      </c>
    </row>
    <row r="286" spans="1:20" ht="19.5" customHeight="1" hidden="1">
      <c r="A286" s="27" t="s">
        <v>330</v>
      </c>
      <c r="B286" s="14" t="s">
        <v>39</v>
      </c>
      <c r="C286" s="36"/>
      <c r="D286" s="86">
        <v>85302</v>
      </c>
      <c r="E286" s="86"/>
      <c r="F286" s="12">
        <f>F287</f>
        <v>567120</v>
      </c>
      <c r="G286" s="155">
        <f>G287</f>
        <v>476480</v>
      </c>
      <c r="H286" s="148">
        <f t="shared" si="80"/>
        <v>84.01749188884186</v>
      </c>
      <c r="I286" s="148" t="e">
        <f>F286/F414</f>
        <v>#DIV/0!</v>
      </c>
      <c r="J286" s="181"/>
      <c r="K286" s="10">
        <f aca="true" t="shared" si="83" ref="K286:S286">K287</f>
        <v>25344</v>
      </c>
      <c r="L286" s="10">
        <f t="shared" si="83"/>
        <v>0</v>
      </c>
      <c r="M286" s="10">
        <f t="shared" si="83"/>
        <v>556758</v>
      </c>
      <c r="N286" s="10">
        <f t="shared" si="83"/>
        <v>0</v>
      </c>
      <c r="O286" s="10">
        <f t="shared" si="83"/>
        <v>0</v>
      </c>
      <c r="P286" s="342">
        <f t="shared" si="83"/>
        <v>559000</v>
      </c>
      <c r="Q286" s="342">
        <f t="shared" si="83"/>
        <v>0</v>
      </c>
      <c r="R286" s="342">
        <f t="shared" si="83"/>
        <v>0</v>
      </c>
      <c r="S286" s="342">
        <f t="shared" si="83"/>
        <v>0</v>
      </c>
      <c r="T286" s="13">
        <f t="shared" si="82"/>
        <v>0</v>
      </c>
    </row>
    <row r="287" spans="1:20" ht="24" customHeight="1" hidden="1">
      <c r="A287" s="27"/>
      <c r="B287" s="14" t="s">
        <v>401</v>
      </c>
      <c r="C287" s="36"/>
      <c r="D287" s="36"/>
      <c r="E287" s="36">
        <v>213</v>
      </c>
      <c r="F287" s="8">
        <v>567120</v>
      </c>
      <c r="G287" s="156">
        <v>476480</v>
      </c>
      <c r="H287" s="154">
        <f t="shared" si="80"/>
        <v>84.01749188884186</v>
      </c>
      <c r="I287" s="154" t="e">
        <f>F287/F414</f>
        <v>#DIV/0!</v>
      </c>
      <c r="J287" s="45"/>
      <c r="K287" s="11">
        <v>25344</v>
      </c>
      <c r="L287" s="11">
        <v>0</v>
      </c>
      <c r="M287" s="11">
        <v>556758</v>
      </c>
      <c r="N287" s="11">
        <v>0</v>
      </c>
      <c r="O287" s="11">
        <v>0</v>
      </c>
      <c r="P287" s="263">
        <v>559000</v>
      </c>
      <c r="Q287" s="263">
        <v>0</v>
      </c>
      <c r="R287" s="263">
        <v>0</v>
      </c>
      <c r="S287" s="11">
        <v>0</v>
      </c>
      <c r="T287" s="9">
        <f t="shared" si="82"/>
        <v>0</v>
      </c>
    </row>
    <row r="288" spans="1:20" ht="17.25" customHeight="1" hidden="1">
      <c r="A288" s="54" t="s">
        <v>372</v>
      </c>
      <c r="B288" s="115" t="s">
        <v>194</v>
      </c>
      <c r="C288" s="160"/>
      <c r="D288" s="167">
        <v>85204</v>
      </c>
      <c r="E288" s="167"/>
      <c r="F288" s="171">
        <f>F289</f>
        <v>0</v>
      </c>
      <c r="G288" s="201">
        <f>G289</f>
        <v>1138000</v>
      </c>
      <c r="H288" s="203">
        <f t="shared" si="80"/>
      </c>
      <c r="I288" s="203" t="e">
        <f>F288/F414</f>
        <v>#DIV/0!</v>
      </c>
      <c r="J288" s="181"/>
      <c r="K288" s="135">
        <f aca="true" t="shared" si="84" ref="K288:S288">K289</f>
        <v>0</v>
      </c>
      <c r="L288" s="135">
        <f t="shared" si="84"/>
        <v>0</v>
      </c>
      <c r="M288" s="135">
        <f t="shared" si="84"/>
        <v>586848</v>
      </c>
      <c r="N288" s="135">
        <f t="shared" si="84"/>
        <v>44006</v>
      </c>
      <c r="O288" s="135">
        <f t="shared" si="84"/>
        <v>0</v>
      </c>
      <c r="P288" s="351">
        <f t="shared" si="84"/>
        <v>728506</v>
      </c>
      <c r="Q288" s="351">
        <f t="shared" si="84"/>
        <v>0</v>
      </c>
      <c r="R288" s="351">
        <f t="shared" si="84"/>
        <v>0</v>
      </c>
      <c r="S288" s="342">
        <f t="shared" si="84"/>
        <v>0</v>
      </c>
      <c r="T288" s="13">
        <f t="shared" si="82"/>
        <v>0</v>
      </c>
    </row>
    <row r="289" spans="1:20" ht="0.75" customHeight="1" hidden="1">
      <c r="A289" s="27"/>
      <c r="B289" s="14" t="s">
        <v>401</v>
      </c>
      <c r="C289" s="36"/>
      <c r="D289" s="36"/>
      <c r="E289" s="36">
        <v>2130</v>
      </c>
      <c r="F289" s="8">
        <v>0</v>
      </c>
      <c r="G289" s="156">
        <v>1138000</v>
      </c>
      <c r="H289" s="154">
        <f t="shared" si="80"/>
      </c>
      <c r="I289" s="154" t="e">
        <f>F289/F414</f>
        <v>#DIV/0!</v>
      </c>
      <c r="J289" s="11"/>
      <c r="K289" s="11">
        <v>0</v>
      </c>
      <c r="L289" s="11">
        <v>0</v>
      </c>
      <c r="M289" s="11">
        <v>586848</v>
      </c>
      <c r="N289" s="11">
        <v>44006</v>
      </c>
      <c r="O289" s="11">
        <v>0</v>
      </c>
      <c r="P289" s="11">
        <v>728506</v>
      </c>
      <c r="Q289" s="11">
        <v>0</v>
      </c>
      <c r="R289" s="11">
        <v>0</v>
      </c>
      <c r="S289" s="11">
        <v>0</v>
      </c>
      <c r="T289" s="9">
        <f t="shared" si="82"/>
        <v>0</v>
      </c>
    </row>
    <row r="290" spans="1:20" ht="15.75" customHeight="1" hidden="1">
      <c r="A290" s="27" t="s">
        <v>375</v>
      </c>
      <c r="B290" s="14" t="s">
        <v>49</v>
      </c>
      <c r="C290" s="36"/>
      <c r="D290" s="86">
        <v>85226</v>
      </c>
      <c r="E290" s="86"/>
      <c r="F290" s="12"/>
      <c r="G290" s="155">
        <f>G291</f>
        <v>22000</v>
      </c>
      <c r="H290" s="148"/>
      <c r="I290" s="148"/>
      <c r="J290" s="10"/>
      <c r="K290" s="10">
        <f aca="true" t="shared" si="85" ref="K290:S290">K291</f>
        <v>0</v>
      </c>
      <c r="L290" s="10">
        <f t="shared" si="85"/>
        <v>0</v>
      </c>
      <c r="M290" s="10">
        <f t="shared" si="85"/>
        <v>41784</v>
      </c>
      <c r="N290" s="10">
        <f t="shared" si="85"/>
        <v>0</v>
      </c>
      <c r="O290" s="10">
        <f t="shared" si="85"/>
        <v>0</v>
      </c>
      <c r="P290" s="196">
        <f t="shared" si="85"/>
        <v>70901</v>
      </c>
      <c r="Q290" s="196">
        <f t="shared" si="85"/>
        <v>0</v>
      </c>
      <c r="R290" s="196">
        <f t="shared" si="85"/>
        <v>0</v>
      </c>
      <c r="S290" s="342">
        <f t="shared" si="85"/>
        <v>0</v>
      </c>
      <c r="T290" s="13">
        <f t="shared" si="82"/>
        <v>0</v>
      </c>
    </row>
    <row r="291" spans="1:20" ht="24" customHeight="1" hidden="1">
      <c r="A291" s="27"/>
      <c r="B291" s="14" t="s">
        <v>401</v>
      </c>
      <c r="C291" s="36"/>
      <c r="D291" s="36"/>
      <c r="E291" s="36">
        <v>2130</v>
      </c>
      <c r="F291" s="8"/>
      <c r="G291" s="156">
        <v>22000</v>
      </c>
      <c r="H291" s="154"/>
      <c r="I291" s="154"/>
      <c r="J291" s="11"/>
      <c r="K291" s="11">
        <v>0</v>
      </c>
      <c r="L291" s="11">
        <v>0</v>
      </c>
      <c r="M291" s="11">
        <v>41784</v>
      </c>
      <c r="N291" s="11">
        <v>0</v>
      </c>
      <c r="O291" s="11">
        <v>0</v>
      </c>
      <c r="P291" s="11">
        <v>70901</v>
      </c>
      <c r="Q291" s="11">
        <v>0</v>
      </c>
      <c r="R291" s="11">
        <v>0</v>
      </c>
      <c r="S291" s="11">
        <v>0</v>
      </c>
      <c r="T291" s="9">
        <f t="shared" si="82"/>
        <v>0</v>
      </c>
    </row>
    <row r="292" spans="1:20" ht="0.75" customHeight="1" hidden="1">
      <c r="A292" s="24" t="s">
        <v>377</v>
      </c>
      <c r="B292" s="32" t="s">
        <v>795</v>
      </c>
      <c r="C292" s="34"/>
      <c r="D292" s="30" t="s">
        <v>838</v>
      </c>
      <c r="E292" s="30"/>
      <c r="F292" s="12"/>
      <c r="G292" s="155">
        <f>G293</f>
        <v>6515</v>
      </c>
      <c r="H292" s="148"/>
      <c r="I292" s="13"/>
      <c r="J292" s="10"/>
      <c r="K292" s="10">
        <f aca="true" t="shared" si="86" ref="K292:S292">K293</f>
        <v>3292</v>
      </c>
      <c r="L292" s="10">
        <f t="shared" si="86"/>
        <v>0</v>
      </c>
      <c r="M292" s="10">
        <f t="shared" si="86"/>
        <v>2887</v>
      </c>
      <c r="N292" s="10">
        <f t="shared" si="86"/>
        <v>0</v>
      </c>
      <c r="O292" s="10">
        <f t="shared" si="86"/>
        <v>0</v>
      </c>
      <c r="P292" s="196">
        <f t="shared" si="86"/>
        <v>2885</v>
      </c>
      <c r="Q292" s="196">
        <f t="shared" si="86"/>
        <v>0</v>
      </c>
      <c r="R292" s="196">
        <f t="shared" si="86"/>
        <v>0</v>
      </c>
      <c r="S292" s="342">
        <f t="shared" si="86"/>
        <v>0</v>
      </c>
      <c r="T292" s="13">
        <f t="shared" si="82"/>
        <v>0</v>
      </c>
    </row>
    <row r="293" spans="1:20" ht="0.75" customHeight="1" hidden="1">
      <c r="A293" s="24"/>
      <c r="B293" s="14" t="s">
        <v>401</v>
      </c>
      <c r="C293" s="34"/>
      <c r="D293" s="34"/>
      <c r="E293" s="34" t="s">
        <v>520</v>
      </c>
      <c r="F293" s="136"/>
      <c r="G293" s="164">
        <v>6515</v>
      </c>
      <c r="H293" s="154"/>
      <c r="I293" s="166"/>
      <c r="J293" s="11"/>
      <c r="K293" s="11">
        <v>3292</v>
      </c>
      <c r="L293" s="11">
        <v>0</v>
      </c>
      <c r="M293" s="11">
        <v>2887</v>
      </c>
      <c r="N293" s="11">
        <v>0</v>
      </c>
      <c r="O293" s="11">
        <v>0</v>
      </c>
      <c r="P293" s="11">
        <v>2885</v>
      </c>
      <c r="Q293" s="11">
        <v>0</v>
      </c>
      <c r="R293" s="11">
        <v>0</v>
      </c>
      <c r="S293" s="11">
        <v>0</v>
      </c>
      <c r="T293" s="9">
        <f t="shared" si="82"/>
        <v>0</v>
      </c>
    </row>
    <row r="294" spans="1:20" ht="24" customHeight="1" hidden="1">
      <c r="A294" s="22" t="s">
        <v>253</v>
      </c>
      <c r="B294" s="7" t="s">
        <v>837</v>
      </c>
      <c r="C294" s="30"/>
      <c r="D294" s="30"/>
      <c r="E294" s="30"/>
      <c r="F294" s="12"/>
      <c r="G294" s="155"/>
      <c r="H294" s="148"/>
      <c r="I294" s="13"/>
      <c r="J294" s="10"/>
      <c r="K294" s="10"/>
      <c r="L294" s="10"/>
      <c r="M294" s="10"/>
      <c r="N294" s="10"/>
      <c r="O294" s="10"/>
      <c r="P294" s="10"/>
      <c r="Q294" s="10"/>
      <c r="R294" s="10"/>
      <c r="S294" s="343">
        <f>S295</f>
        <v>0</v>
      </c>
      <c r="T294" s="13"/>
    </row>
    <row r="295" spans="1:20" ht="17.25" customHeight="1" hidden="1">
      <c r="A295" s="27" t="s">
        <v>320</v>
      </c>
      <c r="B295" s="14" t="s">
        <v>52</v>
      </c>
      <c r="C295" s="36"/>
      <c r="D295" s="86">
        <v>85333</v>
      </c>
      <c r="E295" s="86"/>
      <c r="F295" s="12">
        <f>F296</f>
        <v>239000</v>
      </c>
      <c r="G295" s="155">
        <f>G296</f>
        <v>230000</v>
      </c>
      <c r="H295" s="148">
        <f aca="true" t="shared" si="87" ref="H295:H309">IF(F295&gt;0,G295/F295*100,"")</f>
        <v>96.23430962343096</v>
      </c>
      <c r="I295" s="148" t="e">
        <f>F295/F400</f>
        <v>#REF!</v>
      </c>
      <c r="J295" s="10"/>
      <c r="K295" s="10">
        <f aca="true" t="shared" si="88" ref="K295:S295">K296</f>
        <v>0</v>
      </c>
      <c r="L295" s="10">
        <f t="shared" si="88"/>
        <v>0</v>
      </c>
      <c r="M295" s="10">
        <f t="shared" si="88"/>
        <v>112900</v>
      </c>
      <c r="N295" s="10">
        <f t="shared" si="88"/>
        <v>0</v>
      </c>
      <c r="O295" s="10">
        <f t="shared" si="88"/>
        <v>0</v>
      </c>
      <c r="P295" s="196">
        <f t="shared" si="88"/>
        <v>114471</v>
      </c>
      <c r="Q295" s="196">
        <f t="shared" si="88"/>
        <v>0</v>
      </c>
      <c r="R295" s="196">
        <f t="shared" si="88"/>
        <v>0</v>
      </c>
      <c r="S295" s="350">
        <f t="shared" si="88"/>
        <v>0</v>
      </c>
      <c r="T295" s="166">
        <f aca="true" t="shared" si="89" ref="T295:T328">S295/$S$400</f>
        <v>0</v>
      </c>
    </row>
    <row r="296" spans="1:20" ht="24" customHeight="1" hidden="1">
      <c r="A296" s="27"/>
      <c r="B296" s="14" t="s">
        <v>401</v>
      </c>
      <c r="C296" s="36"/>
      <c r="D296" s="36"/>
      <c r="E296" s="36">
        <v>2130</v>
      </c>
      <c r="F296" s="8">
        <v>239000</v>
      </c>
      <c r="G296" s="156">
        <v>230000</v>
      </c>
      <c r="H296" s="154">
        <f t="shared" si="87"/>
        <v>96.23430962343096</v>
      </c>
      <c r="I296" s="154" t="e">
        <f>F296/F400</f>
        <v>#REF!</v>
      </c>
      <c r="J296" s="11"/>
      <c r="K296" s="11">
        <v>0</v>
      </c>
      <c r="L296" s="11">
        <v>0</v>
      </c>
      <c r="M296" s="11">
        <v>112900</v>
      </c>
      <c r="N296" s="11">
        <v>0</v>
      </c>
      <c r="O296" s="11">
        <v>0</v>
      </c>
      <c r="P296" s="11">
        <v>114471</v>
      </c>
      <c r="Q296" s="11">
        <v>0</v>
      </c>
      <c r="R296" s="11">
        <v>0</v>
      </c>
      <c r="S296" s="11">
        <v>0</v>
      </c>
      <c r="T296" s="9">
        <f t="shared" si="89"/>
        <v>0</v>
      </c>
    </row>
    <row r="297" spans="1:20" ht="28.5" customHeight="1" hidden="1">
      <c r="A297" s="22" t="s">
        <v>222</v>
      </c>
      <c r="B297" s="158" t="s">
        <v>379</v>
      </c>
      <c r="C297" s="36">
        <v>854</v>
      </c>
      <c r="D297" s="36"/>
      <c r="E297" s="36"/>
      <c r="F297" s="8">
        <f>F298+F300+F302+F304</f>
        <v>32700</v>
      </c>
      <c r="G297" s="156">
        <f>G298+G300+G302+G304</f>
        <v>0</v>
      </c>
      <c r="H297" s="154">
        <f t="shared" si="87"/>
        <v>0</v>
      </c>
      <c r="I297" s="154" t="e">
        <f>F297/F400</f>
        <v>#REF!</v>
      </c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9">
        <f t="shared" si="89"/>
        <v>0</v>
      </c>
    </row>
    <row r="298" spans="1:20" ht="35.25" customHeight="1" hidden="1">
      <c r="A298" s="27" t="s">
        <v>320</v>
      </c>
      <c r="B298" s="14" t="s">
        <v>57</v>
      </c>
      <c r="C298" s="36"/>
      <c r="D298" s="36">
        <v>85403</v>
      </c>
      <c r="E298" s="36"/>
      <c r="F298" s="8">
        <f>F299</f>
        <v>24000</v>
      </c>
      <c r="G298" s="156">
        <f>G299</f>
        <v>0</v>
      </c>
      <c r="H298" s="154">
        <f t="shared" si="87"/>
        <v>0</v>
      </c>
      <c r="I298" s="154" t="e">
        <f>F298/F400</f>
        <v>#REF!</v>
      </c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9">
        <f t="shared" si="89"/>
        <v>0</v>
      </c>
    </row>
    <row r="299" spans="1:20" ht="30.75" customHeight="1" hidden="1">
      <c r="A299" s="27"/>
      <c r="B299" s="14" t="s">
        <v>401</v>
      </c>
      <c r="C299" s="36"/>
      <c r="D299" s="36"/>
      <c r="E299" s="36">
        <v>213</v>
      </c>
      <c r="F299" s="8">
        <v>24000</v>
      </c>
      <c r="G299" s="156">
        <v>0</v>
      </c>
      <c r="H299" s="154">
        <f t="shared" si="87"/>
        <v>0</v>
      </c>
      <c r="I299" s="154" t="e">
        <f>F299/F400</f>
        <v>#REF!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9">
        <f t="shared" si="89"/>
        <v>0</v>
      </c>
    </row>
    <row r="300" spans="1:20" ht="33" customHeight="1" hidden="1">
      <c r="A300" s="27" t="s">
        <v>330</v>
      </c>
      <c r="B300" s="14" t="s">
        <v>380</v>
      </c>
      <c r="C300" s="36"/>
      <c r="D300" s="36">
        <v>85406</v>
      </c>
      <c r="E300" s="36"/>
      <c r="F300" s="8">
        <f>F301</f>
        <v>3000</v>
      </c>
      <c r="G300" s="156">
        <f>G301</f>
        <v>0</v>
      </c>
      <c r="H300" s="154">
        <f t="shared" si="87"/>
        <v>0</v>
      </c>
      <c r="I300" s="154" t="e">
        <f>F300/F400</f>
        <v>#REF!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9">
        <f t="shared" si="89"/>
        <v>0</v>
      </c>
    </row>
    <row r="301" spans="1:20" ht="35.25" customHeight="1" hidden="1">
      <c r="A301" s="27"/>
      <c r="B301" s="14" t="s">
        <v>401</v>
      </c>
      <c r="C301" s="36"/>
      <c r="D301" s="36"/>
      <c r="E301" s="36">
        <v>213</v>
      </c>
      <c r="F301" s="8">
        <v>3000</v>
      </c>
      <c r="G301" s="156">
        <v>0</v>
      </c>
      <c r="H301" s="154">
        <f t="shared" si="87"/>
        <v>0</v>
      </c>
      <c r="I301" s="154" t="e">
        <f>F301/F400</f>
        <v>#REF!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9">
        <f t="shared" si="89"/>
        <v>0</v>
      </c>
    </row>
    <row r="302" spans="1:20" ht="29.25" customHeight="1" hidden="1">
      <c r="A302" s="27" t="s">
        <v>372</v>
      </c>
      <c r="B302" s="14" t="s">
        <v>63</v>
      </c>
      <c r="C302" s="36"/>
      <c r="D302" s="36">
        <v>85410</v>
      </c>
      <c r="E302" s="36"/>
      <c r="F302" s="8">
        <f>F303</f>
        <v>4500</v>
      </c>
      <c r="G302" s="156">
        <f>G303</f>
        <v>0</v>
      </c>
      <c r="H302" s="154">
        <f t="shared" si="87"/>
        <v>0</v>
      </c>
      <c r="I302" s="154" t="e">
        <f>F302/F400</f>
        <v>#REF!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9">
        <f t="shared" si="89"/>
        <v>0</v>
      </c>
    </row>
    <row r="303" spans="1:20" ht="35.25" customHeight="1" hidden="1">
      <c r="A303" s="27"/>
      <c r="B303" s="14" t="s">
        <v>401</v>
      </c>
      <c r="C303" s="36"/>
      <c r="D303" s="36"/>
      <c r="E303" s="36">
        <v>213</v>
      </c>
      <c r="F303" s="8">
        <v>4500</v>
      </c>
      <c r="G303" s="156">
        <v>0</v>
      </c>
      <c r="H303" s="154">
        <f t="shared" si="87"/>
        <v>0</v>
      </c>
      <c r="I303" s="154" t="e">
        <f>F303/F400</f>
        <v>#REF!</v>
      </c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9">
        <f t="shared" si="89"/>
        <v>0</v>
      </c>
    </row>
    <row r="304" spans="1:20" ht="32.25" customHeight="1" hidden="1">
      <c r="A304" s="27" t="s">
        <v>375</v>
      </c>
      <c r="B304" s="14" t="s">
        <v>404</v>
      </c>
      <c r="C304" s="36"/>
      <c r="D304" s="36">
        <v>85412</v>
      </c>
      <c r="E304" s="36"/>
      <c r="F304" s="8">
        <f>F305</f>
        <v>1200</v>
      </c>
      <c r="G304" s="156">
        <f>G305</f>
        <v>0</v>
      </c>
      <c r="H304" s="154">
        <f t="shared" si="87"/>
        <v>0</v>
      </c>
      <c r="I304" s="154" t="e">
        <f>F304/F400</f>
        <v>#REF!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9">
        <f t="shared" si="89"/>
        <v>0</v>
      </c>
    </row>
    <row r="305" spans="1:20" ht="38.25" customHeight="1" hidden="1">
      <c r="A305" s="27"/>
      <c r="B305" s="14" t="s">
        <v>401</v>
      </c>
      <c r="C305" s="36"/>
      <c r="D305" s="36"/>
      <c r="E305" s="36">
        <v>213</v>
      </c>
      <c r="F305" s="8">
        <v>1200</v>
      </c>
      <c r="G305" s="156">
        <v>0</v>
      </c>
      <c r="H305" s="154">
        <f t="shared" si="87"/>
        <v>0</v>
      </c>
      <c r="I305" s="154" t="e">
        <f>F305/F400</f>
        <v>#REF!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9">
        <f t="shared" si="89"/>
        <v>0</v>
      </c>
    </row>
    <row r="306" spans="1:20" ht="45.75" customHeight="1" hidden="1">
      <c r="A306" s="22" t="s">
        <v>405</v>
      </c>
      <c r="B306" s="7" t="s">
        <v>406</v>
      </c>
      <c r="C306" s="36"/>
      <c r="D306" s="36"/>
      <c r="E306" s="36"/>
      <c r="F306" s="8">
        <f aca="true" t="shared" si="90" ref="F306:G308">F307</f>
        <v>1638000</v>
      </c>
      <c r="G306" s="156">
        <f t="shared" si="90"/>
        <v>0</v>
      </c>
      <c r="H306" s="154">
        <f t="shared" si="87"/>
        <v>0</v>
      </c>
      <c r="I306" s="154" t="e">
        <f>F306/F400</f>
        <v>#REF!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9">
        <f t="shared" si="89"/>
        <v>0</v>
      </c>
    </row>
    <row r="307" spans="1:20" ht="21.75" customHeight="1" hidden="1">
      <c r="A307" s="22" t="s">
        <v>217</v>
      </c>
      <c r="B307" s="7" t="s">
        <v>373</v>
      </c>
      <c r="C307" s="36">
        <v>851</v>
      </c>
      <c r="D307" s="36"/>
      <c r="E307" s="36"/>
      <c r="F307" s="8">
        <f t="shared" si="90"/>
        <v>1638000</v>
      </c>
      <c r="G307" s="156">
        <f t="shared" si="90"/>
        <v>0</v>
      </c>
      <c r="H307" s="154">
        <f t="shared" si="87"/>
        <v>0</v>
      </c>
      <c r="I307" s="154" t="e">
        <f>F307/F400</f>
        <v>#REF!</v>
      </c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9">
        <f t="shared" si="89"/>
        <v>0</v>
      </c>
    </row>
    <row r="308" spans="1:20" ht="24.75" customHeight="1" hidden="1">
      <c r="A308" s="24" t="s">
        <v>320</v>
      </c>
      <c r="B308" s="32" t="s">
        <v>942</v>
      </c>
      <c r="C308" s="36"/>
      <c r="D308" s="36">
        <v>85111</v>
      </c>
      <c r="E308" s="36"/>
      <c r="F308" s="8">
        <f t="shared" si="90"/>
        <v>1638000</v>
      </c>
      <c r="G308" s="156">
        <f t="shared" si="90"/>
        <v>0</v>
      </c>
      <c r="H308" s="154">
        <f t="shared" si="87"/>
        <v>0</v>
      </c>
      <c r="I308" s="154" t="e">
        <f>F308/F400</f>
        <v>#REF!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9">
        <f t="shared" si="89"/>
        <v>0</v>
      </c>
    </row>
    <row r="309" spans="1:20" ht="37.5" customHeight="1" hidden="1">
      <c r="A309" s="22"/>
      <c r="B309" s="32" t="s">
        <v>407</v>
      </c>
      <c r="C309" s="36"/>
      <c r="D309" s="36"/>
      <c r="E309" s="36">
        <v>643</v>
      </c>
      <c r="F309" s="8">
        <v>1638000</v>
      </c>
      <c r="G309" s="156">
        <v>0</v>
      </c>
      <c r="H309" s="154">
        <f t="shared" si="87"/>
        <v>0</v>
      </c>
      <c r="I309" s="154" t="e">
        <f>F309/F400</f>
        <v>#REF!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9">
        <f t="shared" si="89"/>
        <v>0</v>
      </c>
    </row>
    <row r="310" spans="1:20" ht="38.25" customHeight="1" hidden="1">
      <c r="A310" s="22" t="s">
        <v>408</v>
      </c>
      <c r="B310" s="7" t="s">
        <v>409</v>
      </c>
      <c r="C310" s="36"/>
      <c r="D310" s="36"/>
      <c r="E310" s="36"/>
      <c r="F310" s="8">
        <f>F311+F314</f>
        <v>23000</v>
      </c>
      <c r="G310" s="156">
        <f>G311+G314</f>
        <v>0</v>
      </c>
      <c r="H310" s="154">
        <f aca="true" t="shared" si="91" ref="H310:H372">IF(F310&gt;0,G310/F310*100,"")</f>
        <v>0</v>
      </c>
      <c r="I310" s="154" t="e">
        <f>F310/F400</f>
        <v>#REF!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9">
        <f t="shared" si="89"/>
        <v>0</v>
      </c>
    </row>
    <row r="311" spans="1:20" ht="26.25" customHeight="1" hidden="1">
      <c r="A311" s="22" t="s">
        <v>217</v>
      </c>
      <c r="B311" s="7" t="s">
        <v>361</v>
      </c>
      <c r="C311" s="36">
        <v>754</v>
      </c>
      <c r="D311" s="36"/>
      <c r="E311" s="36"/>
      <c r="F311" s="8">
        <f>F312</f>
        <v>11000</v>
      </c>
      <c r="G311" s="156">
        <f>G312</f>
        <v>0</v>
      </c>
      <c r="H311" s="154">
        <f t="shared" si="91"/>
        <v>0</v>
      </c>
      <c r="I311" s="154" t="e">
        <f>F311/F400</f>
        <v>#REF!</v>
      </c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9">
        <f t="shared" si="89"/>
        <v>0</v>
      </c>
    </row>
    <row r="312" spans="1:20" ht="21" customHeight="1" hidden="1">
      <c r="A312" s="22" t="s">
        <v>320</v>
      </c>
      <c r="B312" s="7" t="s">
        <v>810</v>
      </c>
      <c r="C312" s="36"/>
      <c r="D312" s="36">
        <v>75405</v>
      </c>
      <c r="E312" s="36"/>
      <c r="F312" s="8">
        <f>F313</f>
        <v>11000</v>
      </c>
      <c r="G312" s="156">
        <f>G313</f>
        <v>0</v>
      </c>
      <c r="H312" s="154">
        <f t="shared" si="91"/>
        <v>0</v>
      </c>
      <c r="I312" s="154" t="e">
        <f>F312/F400</f>
        <v>#REF!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9">
        <f t="shared" si="89"/>
        <v>0</v>
      </c>
    </row>
    <row r="313" spans="1:20" ht="42" customHeight="1" hidden="1">
      <c r="A313" s="22"/>
      <c r="B313" s="32" t="s">
        <v>410</v>
      </c>
      <c r="C313" s="36"/>
      <c r="D313" s="36"/>
      <c r="E313" s="36">
        <v>231</v>
      </c>
      <c r="F313" s="8">
        <v>11000</v>
      </c>
      <c r="G313" s="156">
        <v>0</v>
      </c>
      <c r="H313" s="154">
        <f t="shared" si="91"/>
        <v>0</v>
      </c>
      <c r="I313" s="154" t="e">
        <f>F313/F400</f>
        <v>#REF!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9">
        <f t="shared" si="89"/>
        <v>0</v>
      </c>
    </row>
    <row r="314" spans="1:20" ht="20.25" customHeight="1" hidden="1">
      <c r="A314" s="22" t="s">
        <v>218</v>
      </c>
      <c r="B314" s="7" t="s">
        <v>369</v>
      </c>
      <c r="C314" s="36">
        <v>801</v>
      </c>
      <c r="D314" s="36"/>
      <c r="E314" s="36"/>
      <c r="F314" s="8">
        <f>F315+F317</f>
        <v>12000</v>
      </c>
      <c r="G314" s="156">
        <f>G315+G317</f>
        <v>0</v>
      </c>
      <c r="H314" s="154">
        <f t="shared" si="91"/>
        <v>0</v>
      </c>
      <c r="I314" s="154" t="e">
        <f>F314/F400</f>
        <v>#REF!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9">
        <f t="shared" si="89"/>
        <v>0</v>
      </c>
    </row>
    <row r="315" spans="1:20" ht="20.25" customHeight="1" hidden="1">
      <c r="A315" s="24" t="s">
        <v>320</v>
      </c>
      <c r="B315" s="32" t="s">
        <v>874</v>
      </c>
      <c r="C315" s="36"/>
      <c r="D315" s="36">
        <v>80120</v>
      </c>
      <c r="E315" s="36"/>
      <c r="F315" s="8">
        <f>F316</f>
        <v>7000</v>
      </c>
      <c r="G315" s="156">
        <f>G316</f>
        <v>0</v>
      </c>
      <c r="H315" s="154">
        <f t="shared" si="91"/>
        <v>0</v>
      </c>
      <c r="I315" s="9" t="e">
        <f>F315/F400</f>
        <v>#REF!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9">
        <f t="shared" si="89"/>
        <v>0</v>
      </c>
    </row>
    <row r="316" spans="1:20" ht="40.5" customHeight="1" hidden="1">
      <c r="A316" s="22"/>
      <c r="B316" s="32" t="s">
        <v>410</v>
      </c>
      <c r="C316" s="36"/>
      <c r="D316" s="36"/>
      <c r="E316" s="36">
        <v>231</v>
      </c>
      <c r="F316" s="8">
        <v>7000</v>
      </c>
      <c r="G316" s="156">
        <v>0</v>
      </c>
      <c r="H316" s="154">
        <f t="shared" si="91"/>
        <v>0</v>
      </c>
      <c r="I316" s="9" t="e">
        <f>F316/F400</f>
        <v>#REF!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9">
        <f t="shared" si="89"/>
        <v>0</v>
      </c>
    </row>
    <row r="317" spans="1:20" ht="19.5" customHeight="1" hidden="1">
      <c r="A317" s="24" t="s">
        <v>330</v>
      </c>
      <c r="B317" s="32" t="s">
        <v>889</v>
      </c>
      <c r="C317" s="36"/>
      <c r="D317" s="36">
        <v>80131</v>
      </c>
      <c r="E317" s="36"/>
      <c r="F317" s="8">
        <f>F318</f>
        <v>5000</v>
      </c>
      <c r="G317" s="156">
        <f>G318</f>
        <v>0</v>
      </c>
      <c r="H317" s="154">
        <f t="shared" si="91"/>
        <v>0</v>
      </c>
      <c r="I317" s="9" t="e">
        <f>F317/F400</f>
        <v>#REF!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9">
        <f t="shared" si="89"/>
        <v>0</v>
      </c>
    </row>
    <row r="318" spans="1:20" ht="40.5" customHeight="1" hidden="1">
      <c r="A318" s="22"/>
      <c r="B318" s="32" t="s">
        <v>410</v>
      </c>
      <c r="C318" s="36"/>
      <c r="D318" s="36"/>
      <c r="E318" s="36">
        <v>231</v>
      </c>
      <c r="F318" s="8">
        <v>5000</v>
      </c>
      <c r="G318" s="156">
        <v>0</v>
      </c>
      <c r="H318" s="154">
        <f t="shared" si="91"/>
        <v>0</v>
      </c>
      <c r="I318" s="9" t="e">
        <f>F318/F400</f>
        <v>#REF!</v>
      </c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9">
        <f t="shared" si="89"/>
        <v>0</v>
      </c>
    </row>
    <row r="319" spans="1:20" ht="42" customHeight="1" hidden="1">
      <c r="A319" s="22" t="s">
        <v>244</v>
      </c>
      <c r="B319" s="7" t="s">
        <v>411</v>
      </c>
      <c r="C319" s="30"/>
      <c r="D319" s="30"/>
      <c r="E319" s="30"/>
      <c r="F319" s="12">
        <f>F320</f>
        <v>45000</v>
      </c>
      <c r="G319" s="155">
        <f>G320</f>
        <v>0</v>
      </c>
      <c r="H319" s="154">
        <f t="shared" si="91"/>
        <v>0</v>
      </c>
      <c r="I319" s="13" t="e">
        <f>F319/F400</f>
        <v>#REF!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9">
        <f t="shared" si="89"/>
        <v>0</v>
      </c>
    </row>
    <row r="320" spans="1:20" ht="18.75" customHeight="1" hidden="1">
      <c r="A320" s="22" t="s">
        <v>217</v>
      </c>
      <c r="B320" s="7" t="s">
        <v>373</v>
      </c>
      <c r="C320" s="34" t="s">
        <v>939</v>
      </c>
      <c r="D320" s="30"/>
      <c r="E320" s="30"/>
      <c r="F320" s="12">
        <f>F321+F323</f>
        <v>45000</v>
      </c>
      <c r="G320" s="155">
        <f>G321+G323</f>
        <v>0</v>
      </c>
      <c r="H320" s="154">
        <f t="shared" si="91"/>
        <v>0</v>
      </c>
      <c r="I320" s="13" t="e">
        <f>F320/F400</f>
        <v>#REF!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9">
        <f t="shared" si="89"/>
        <v>0</v>
      </c>
    </row>
    <row r="321" spans="1:20" ht="18.75" customHeight="1" hidden="1">
      <c r="A321" s="24" t="s">
        <v>320</v>
      </c>
      <c r="B321" s="32" t="s">
        <v>942</v>
      </c>
      <c r="C321" s="34"/>
      <c r="D321" s="34" t="s">
        <v>941</v>
      </c>
      <c r="E321" s="30"/>
      <c r="F321" s="136">
        <f>F322</f>
        <v>40000</v>
      </c>
      <c r="G321" s="164">
        <f>G322</f>
        <v>0</v>
      </c>
      <c r="H321" s="154">
        <f t="shared" si="91"/>
        <v>0</v>
      </c>
      <c r="I321" s="13" t="e">
        <f>F321/F400</f>
        <v>#REF!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9">
        <f t="shared" si="89"/>
        <v>0</v>
      </c>
    </row>
    <row r="322" spans="1:20" ht="55.5" customHeight="1" hidden="1">
      <c r="A322" s="22"/>
      <c r="B322" s="32" t="s">
        <v>412</v>
      </c>
      <c r="C322" s="34"/>
      <c r="D322" s="34"/>
      <c r="E322" s="34" t="s">
        <v>413</v>
      </c>
      <c r="F322" s="136">
        <v>40000</v>
      </c>
      <c r="G322" s="164">
        <v>0</v>
      </c>
      <c r="H322" s="154">
        <f t="shared" si="91"/>
        <v>0</v>
      </c>
      <c r="I322" s="13" t="e">
        <f>F322/F400</f>
        <v>#REF!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9">
        <f t="shared" si="89"/>
        <v>0</v>
      </c>
    </row>
    <row r="323" spans="1:20" ht="24.75" customHeight="1" hidden="1">
      <c r="A323" s="24" t="s">
        <v>330</v>
      </c>
      <c r="B323" s="32" t="s">
        <v>414</v>
      </c>
      <c r="C323" s="34"/>
      <c r="D323" s="34" t="s">
        <v>15</v>
      </c>
      <c r="E323" s="34"/>
      <c r="F323" s="136">
        <f>F324</f>
        <v>5000</v>
      </c>
      <c r="G323" s="164">
        <f>G324</f>
        <v>0</v>
      </c>
      <c r="H323" s="154">
        <f t="shared" si="91"/>
        <v>0</v>
      </c>
      <c r="I323" s="166" t="e">
        <f>F323/F400</f>
        <v>#REF!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9">
        <f t="shared" si="89"/>
        <v>0</v>
      </c>
    </row>
    <row r="324" spans="1:20" ht="50.25" customHeight="1" hidden="1">
      <c r="A324" s="24"/>
      <c r="B324" s="32" t="s">
        <v>412</v>
      </c>
      <c r="C324" s="34"/>
      <c r="D324" s="34"/>
      <c r="E324" s="34" t="s">
        <v>413</v>
      </c>
      <c r="F324" s="136">
        <v>5000</v>
      </c>
      <c r="G324" s="164">
        <v>0</v>
      </c>
      <c r="H324" s="154">
        <f t="shared" si="91"/>
        <v>0</v>
      </c>
      <c r="I324" s="166" t="e">
        <f>F324/F400</f>
        <v>#REF!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9">
        <f t="shared" si="89"/>
        <v>0</v>
      </c>
    </row>
    <row r="325" spans="1:20" ht="21.75" customHeight="1" hidden="1">
      <c r="A325" s="24"/>
      <c r="B325" s="32"/>
      <c r="C325" s="34"/>
      <c r="D325" s="30"/>
      <c r="E325" s="30"/>
      <c r="F325" s="12"/>
      <c r="G325" s="155"/>
      <c r="H325" s="148"/>
      <c r="I325" s="13"/>
      <c r="J325" s="10"/>
      <c r="K325" s="10"/>
      <c r="L325" s="10"/>
      <c r="M325" s="10"/>
      <c r="N325" s="10"/>
      <c r="O325" s="10"/>
      <c r="P325" s="196"/>
      <c r="Q325" s="196"/>
      <c r="R325" s="196"/>
      <c r="S325" s="342"/>
      <c r="T325" s="9">
        <f t="shared" si="89"/>
        <v>0</v>
      </c>
    </row>
    <row r="326" spans="1:20" ht="22.5" customHeight="1" hidden="1">
      <c r="A326" s="24"/>
      <c r="B326" s="14"/>
      <c r="C326" s="34"/>
      <c r="D326" s="34"/>
      <c r="E326" s="34"/>
      <c r="F326" s="136"/>
      <c r="G326" s="164"/>
      <c r="H326" s="154"/>
      <c r="I326" s="166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9">
        <f t="shared" si="89"/>
        <v>0</v>
      </c>
    </row>
    <row r="327" spans="1:20" ht="16.5" customHeight="1">
      <c r="A327" s="22">
        <v>2</v>
      </c>
      <c r="B327" s="7" t="s">
        <v>379</v>
      </c>
      <c r="C327" s="30" t="s">
        <v>54</v>
      </c>
      <c r="D327" s="30"/>
      <c r="E327" s="30"/>
      <c r="F327" s="12"/>
      <c r="G327" s="155">
        <f>G334+G338</f>
        <v>94026</v>
      </c>
      <c r="H327" s="148"/>
      <c r="I327" s="13"/>
      <c r="J327" s="10"/>
      <c r="K327" s="10">
        <f>K334+K338</f>
        <v>27582</v>
      </c>
      <c r="L327" s="10">
        <f>L334+L338</f>
        <v>0</v>
      </c>
      <c r="M327" s="10">
        <f>M334+M338+M328+M330+M332</f>
        <v>83340</v>
      </c>
      <c r="N327" s="10">
        <f>N334+N338+N328+N330+N332</f>
        <v>0</v>
      </c>
      <c r="O327" s="10">
        <f>O334+O338+O328+O330+O332</f>
        <v>0</v>
      </c>
      <c r="P327" s="10">
        <f>P334+P338+P328+P330+P332+P336</f>
        <v>17201</v>
      </c>
      <c r="Q327" s="10">
        <f>Q334+Q338+Q328+Q330+Q332+Q336</f>
        <v>0</v>
      </c>
      <c r="R327" s="10">
        <f>R334+R338+R328+R330+R332+R336</f>
        <v>0</v>
      </c>
      <c r="S327" s="343">
        <f>S336</f>
        <v>0</v>
      </c>
      <c r="T327" s="13">
        <f t="shared" si="89"/>
        <v>0</v>
      </c>
    </row>
    <row r="328" spans="1:20" ht="23.25" customHeight="1" hidden="1">
      <c r="A328" s="22" t="s">
        <v>320</v>
      </c>
      <c r="B328" s="7" t="s">
        <v>57</v>
      </c>
      <c r="C328" s="30"/>
      <c r="D328" s="30" t="s">
        <v>56</v>
      </c>
      <c r="E328" s="30"/>
      <c r="F328" s="12"/>
      <c r="G328" s="155"/>
      <c r="H328" s="148"/>
      <c r="I328" s="13"/>
      <c r="J328" s="10"/>
      <c r="K328" s="10"/>
      <c r="L328" s="10"/>
      <c r="M328" s="10">
        <f aca="true" t="shared" si="92" ref="M328:R328">M329</f>
        <v>7847</v>
      </c>
      <c r="N328" s="10">
        <f t="shared" si="92"/>
        <v>0</v>
      </c>
      <c r="O328" s="10">
        <f t="shared" si="92"/>
        <v>0</v>
      </c>
      <c r="P328" s="10">
        <f t="shared" si="92"/>
        <v>0</v>
      </c>
      <c r="Q328" s="10">
        <f t="shared" si="92"/>
        <v>0</v>
      </c>
      <c r="R328" s="10">
        <f t="shared" si="92"/>
        <v>0</v>
      </c>
      <c r="S328" s="11"/>
      <c r="T328" s="13">
        <f t="shared" si="89"/>
        <v>0</v>
      </c>
    </row>
    <row r="329" spans="1:20" ht="21.75" customHeight="1" hidden="1">
      <c r="A329" s="22"/>
      <c r="B329" s="14" t="s">
        <v>401</v>
      </c>
      <c r="C329" s="34"/>
      <c r="D329" s="34"/>
      <c r="E329" s="34" t="s">
        <v>415</v>
      </c>
      <c r="F329" s="136"/>
      <c r="G329" s="164"/>
      <c r="H329" s="165"/>
      <c r="I329" s="166"/>
      <c r="J329" s="23"/>
      <c r="K329" s="23"/>
      <c r="L329" s="23"/>
      <c r="M329" s="23">
        <v>7847</v>
      </c>
      <c r="N329" s="23">
        <v>0</v>
      </c>
      <c r="O329" s="23">
        <v>0</v>
      </c>
      <c r="P329" s="11">
        <v>0</v>
      </c>
      <c r="Q329" s="11">
        <v>0</v>
      </c>
      <c r="R329" s="11">
        <v>0</v>
      </c>
      <c r="S329" s="11"/>
      <c r="T329" s="13">
        <f aca="true" t="shared" si="93" ref="T329:T360">S329/$S$400</f>
        <v>0</v>
      </c>
    </row>
    <row r="330" spans="1:20" ht="26.25" customHeight="1" hidden="1">
      <c r="A330" s="22" t="s">
        <v>330</v>
      </c>
      <c r="B330" s="7" t="s">
        <v>380</v>
      </c>
      <c r="C330" s="30"/>
      <c r="D330" s="30" t="s">
        <v>60</v>
      </c>
      <c r="E330" s="30"/>
      <c r="F330" s="12"/>
      <c r="G330" s="155"/>
      <c r="H330" s="148"/>
      <c r="I330" s="13"/>
      <c r="J330" s="10"/>
      <c r="K330" s="10"/>
      <c r="L330" s="10"/>
      <c r="M330" s="10">
        <f aca="true" t="shared" si="94" ref="M330:R330">M331</f>
        <v>2274</v>
      </c>
      <c r="N330" s="10">
        <f t="shared" si="94"/>
        <v>0</v>
      </c>
      <c r="O330" s="10">
        <f t="shared" si="94"/>
        <v>0</v>
      </c>
      <c r="P330" s="10">
        <f t="shared" si="94"/>
        <v>0</v>
      </c>
      <c r="Q330" s="10">
        <f t="shared" si="94"/>
        <v>0</v>
      </c>
      <c r="R330" s="10">
        <f t="shared" si="94"/>
        <v>0</v>
      </c>
      <c r="S330" s="11"/>
      <c r="T330" s="13">
        <f t="shared" si="93"/>
        <v>0</v>
      </c>
    </row>
    <row r="331" spans="1:20" ht="26.25" customHeight="1" hidden="1">
      <c r="A331" s="22"/>
      <c r="B331" s="14" t="s">
        <v>401</v>
      </c>
      <c r="C331" s="34"/>
      <c r="D331" s="34"/>
      <c r="E331" s="34" t="s">
        <v>415</v>
      </c>
      <c r="F331" s="136"/>
      <c r="G331" s="164"/>
      <c r="H331" s="165"/>
      <c r="I331" s="166"/>
      <c r="J331" s="23"/>
      <c r="K331" s="23"/>
      <c r="L331" s="23"/>
      <c r="M331" s="23">
        <v>2274</v>
      </c>
      <c r="N331" s="23">
        <v>0</v>
      </c>
      <c r="O331" s="23">
        <v>0</v>
      </c>
      <c r="P331" s="11">
        <v>0</v>
      </c>
      <c r="Q331" s="11">
        <v>0</v>
      </c>
      <c r="R331" s="11">
        <v>0</v>
      </c>
      <c r="S331" s="11"/>
      <c r="T331" s="13">
        <f t="shared" si="93"/>
        <v>0</v>
      </c>
    </row>
    <row r="332" spans="1:20" ht="27.75" customHeight="1" hidden="1">
      <c r="A332" s="22" t="s">
        <v>372</v>
      </c>
      <c r="B332" s="7" t="s">
        <v>63</v>
      </c>
      <c r="C332" s="30"/>
      <c r="D332" s="30" t="s">
        <v>62</v>
      </c>
      <c r="E332" s="30"/>
      <c r="F332" s="12"/>
      <c r="G332" s="155"/>
      <c r="H332" s="148"/>
      <c r="I332" s="13"/>
      <c r="J332" s="10"/>
      <c r="K332" s="10"/>
      <c r="L332" s="10"/>
      <c r="M332" s="10">
        <f aca="true" t="shared" si="95" ref="M332:R332">M333</f>
        <v>1744</v>
      </c>
      <c r="N332" s="10">
        <f t="shared" si="95"/>
        <v>0</v>
      </c>
      <c r="O332" s="10">
        <f t="shared" si="95"/>
        <v>0</v>
      </c>
      <c r="P332" s="10">
        <f t="shared" si="95"/>
        <v>0</v>
      </c>
      <c r="Q332" s="10">
        <f t="shared" si="95"/>
        <v>0</v>
      </c>
      <c r="R332" s="10">
        <f t="shared" si="95"/>
        <v>0</v>
      </c>
      <c r="S332" s="11"/>
      <c r="T332" s="13">
        <f t="shared" si="93"/>
        <v>0</v>
      </c>
    </row>
    <row r="333" spans="1:20" ht="21.75" customHeight="1" hidden="1">
      <c r="A333" s="22"/>
      <c r="B333" s="14" t="s">
        <v>401</v>
      </c>
      <c r="C333" s="34"/>
      <c r="D333" s="34"/>
      <c r="E333" s="34" t="s">
        <v>415</v>
      </c>
      <c r="F333" s="136"/>
      <c r="G333" s="164"/>
      <c r="H333" s="165"/>
      <c r="I333" s="166"/>
      <c r="J333" s="23"/>
      <c r="K333" s="23"/>
      <c r="L333" s="23"/>
      <c r="M333" s="23">
        <v>1744</v>
      </c>
      <c r="N333" s="23">
        <v>0</v>
      </c>
      <c r="O333" s="23">
        <v>0</v>
      </c>
      <c r="P333" s="11">
        <v>0</v>
      </c>
      <c r="Q333" s="11">
        <v>0</v>
      </c>
      <c r="R333" s="11">
        <v>0</v>
      </c>
      <c r="S333" s="11"/>
      <c r="T333" s="13">
        <f t="shared" si="93"/>
        <v>0</v>
      </c>
    </row>
    <row r="334" spans="1:20" ht="21.75" customHeight="1" hidden="1">
      <c r="A334" s="22" t="s">
        <v>375</v>
      </c>
      <c r="B334" s="7" t="s">
        <v>416</v>
      </c>
      <c r="C334" s="34"/>
      <c r="D334" s="30" t="s">
        <v>67</v>
      </c>
      <c r="E334" s="30"/>
      <c r="F334" s="12"/>
      <c r="G334" s="155">
        <f>G335</f>
        <v>94026</v>
      </c>
      <c r="H334" s="148"/>
      <c r="I334" s="13"/>
      <c r="J334" s="10"/>
      <c r="K334" s="10">
        <f aca="true" t="shared" si="96" ref="K334:R334">K335</f>
        <v>0</v>
      </c>
      <c r="L334" s="10">
        <f t="shared" si="96"/>
        <v>0</v>
      </c>
      <c r="M334" s="10">
        <f t="shared" si="96"/>
        <v>59352</v>
      </c>
      <c r="N334" s="10">
        <f t="shared" si="96"/>
        <v>0</v>
      </c>
      <c r="O334" s="10">
        <f t="shared" si="96"/>
        <v>0</v>
      </c>
      <c r="P334" s="196">
        <f t="shared" si="96"/>
        <v>0</v>
      </c>
      <c r="Q334" s="196">
        <f t="shared" si="96"/>
        <v>0</v>
      </c>
      <c r="R334" s="196">
        <f t="shared" si="96"/>
        <v>0</v>
      </c>
      <c r="S334" s="11"/>
      <c r="T334" s="13">
        <f t="shared" si="93"/>
        <v>0</v>
      </c>
    </row>
    <row r="335" spans="1:20" ht="0.75" customHeight="1" hidden="1">
      <c r="A335" s="24"/>
      <c r="B335" s="14" t="s">
        <v>401</v>
      </c>
      <c r="C335" s="34"/>
      <c r="D335" s="34"/>
      <c r="E335" s="34" t="s">
        <v>415</v>
      </c>
      <c r="F335" s="136"/>
      <c r="G335" s="164">
        <v>94026</v>
      </c>
      <c r="H335" s="154"/>
      <c r="I335" s="166"/>
      <c r="J335" s="11"/>
      <c r="K335" s="11">
        <v>0</v>
      </c>
      <c r="L335" s="11">
        <v>0</v>
      </c>
      <c r="M335" s="11">
        <v>59352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/>
      <c r="T335" s="13">
        <f t="shared" si="93"/>
        <v>0</v>
      </c>
    </row>
    <row r="336" spans="1:20" ht="14.25" customHeight="1">
      <c r="A336" s="22" t="s">
        <v>320</v>
      </c>
      <c r="B336" s="7" t="s">
        <v>416</v>
      </c>
      <c r="C336" s="30"/>
      <c r="D336" s="30" t="s">
        <v>67</v>
      </c>
      <c r="E336" s="30"/>
      <c r="F336" s="12"/>
      <c r="G336" s="155"/>
      <c r="H336" s="148"/>
      <c r="I336" s="13"/>
      <c r="J336" s="10"/>
      <c r="K336" s="10"/>
      <c r="L336" s="10"/>
      <c r="M336" s="10"/>
      <c r="N336" s="10"/>
      <c r="O336" s="10"/>
      <c r="P336" s="10">
        <f>P337</f>
        <v>5083</v>
      </c>
      <c r="Q336" s="10">
        <f>Q337</f>
        <v>0</v>
      </c>
      <c r="R336" s="10">
        <f>R337</f>
        <v>0</v>
      </c>
      <c r="S336" s="343">
        <f>S337</f>
        <v>0</v>
      </c>
      <c r="T336" s="13">
        <f t="shared" si="93"/>
        <v>0</v>
      </c>
    </row>
    <row r="337" spans="1:20" ht="24.75" customHeight="1" thickBot="1">
      <c r="A337" s="24"/>
      <c r="B337" s="14" t="s">
        <v>401</v>
      </c>
      <c r="C337" s="34"/>
      <c r="D337" s="34"/>
      <c r="E337" s="34" t="s">
        <v>520</v>
      </c>
      <c r="F337" s="136"/>
      <c r="G337" s="164"/>
      <c r="H337" s="154"/>
      <c r="I337" s="166"/>
      <c r="J337" s="11"/>
      <c r="K337" s="11"/>
      <c r="L337" s="11"/>
      <c r="M337" s="11"/>
      <c r="N337" s="11"/>
      <c r="O337" s="11"/>
      <c r="P337" s="11">
        <v>5083</v>
      </c>
      <c r="Q337" s="11">
        <v>0</v>
      </c>
      <c r="R337" s="11">
        <v>0</v>
      </c>
      <c r="S337" s="11">
        <v>0</v>
      </c>
      <c r="T337" s="9">
        <f t="shared" si="93"/>
        <v>0</v>
      </c>
    </row>
    <row r="338" spans="1:20" ht="19.5" customHeight="1" hidden="1">
      <c r="A338" s="22" t="s">
        <v>330</v>
      </c>
      <c r="B338" s="7" t="s">
        <v>795</v>
      </c>
      <c r="C338" s="34"/>
      <c r="D338" s="30" t="s">
        <v>74</v>
      </c>
      <c r="E338" s="30"/>
      <c r="F338" s="12"/>
      <c r="G338" s="155">
        <f>G339</f>
        <v>0</v>
      </c>
      <c r="H338" s="148"/>
      <c r="I338" s="13"/>
      <c r="J338" s="10"/>
      <c r="K338" s="10">
        <f aca="true" t="shared" si="97" ref="K338:S338">K339</f>
        <v>27582</v>
      </c>
      <c r="L338" s="10">
        <f t="shared" si="97"/>
        <v>0</v>
      </c>
      <c r="M338" s="10">
        <f t="shared" si="97"/>
        <v>12123</v>
      </c>
      <c r="N338" s="10">
        <f t="shared" si="97"/>
        <v>0</v>
      </c>
      <c r="O338" s="10">
        <f t="shared" si="97"/>
        <v>0</v>
      </c>
      <c r="P338" s="196">
        <f t="shared" si="97"/>
        <v>12118</v>
      </c>
      <c r="Q338" s="196">
        <f t="shared" si="97"/>
        <v>0</v>
      </c>
      <c r="R338" s="196">
        <f t="shared" si="97"/>
        <v>0</v>
      </c>
      <c r="S338" s="342">
        <f t="shared" si="97"/>
        <v>0</v>
      </c>
      <c r="T338" s="13">
        <f t="shared" si="93"/>
        <v>0</v>
      </c>
    </row>
    <row r="339" spans="1:20" ht="23.25" customHeight="1" hidden="1" thickBot="1">
      <c r="A339" s="91"/>
      <c r="B339" s="115" t="s">
        <v>401</v>
      </c>
      <c r="C339" s="378"/>
      <c r="D339" s="378"/>
      <c r="E339" s="378" t="s">
        <v>520</v>
      </c>
      <c r="F339" s="379"/>
      <c r="G339" s="172">
        <v>0</v>
      </c>
      <c r="H339" s="371"/>
      <c r="I339" s="174"/>
      <c r="J339" s="107"/>
      <c r="K339" s="107">
        <v>27582</v>
      </c>
      <c r="L339" s="107">
        <v>0</v>
      </c>
      <c r="M339" s="107">
        <v>12123</v>
      </c>
      <c r="N339" s="107">
        <v>0</v>
      </c>
      <c r="O339" s="107">
        <v>0</v>
      </c>
      <c r="P339" s="107">
        <v>12118</v>
      </c>
      <c r="Q339" s="107">
        <v>0</v>
      </c>
      <c r="R339" s="107">
        <v>0</v>
      </c>
      <c r="S339" s="107">
        <v>0</v>
      </c>
      <c r="T339" s="163">
        <f t="shared" si="93"/>
        <v>0</v>
      </c>
    </row>
    <row r="340" spans="1:25" s="130" customFormat="1" ht="29.25" customHeight="1" thickBot="1">
      <c r="A340" s="450" t="s">
        <v>408</v>
      </c>
      <c r="B340" s="470" t="s">
        <v>417</v>
      </c>
      <c r="C340" s="471"/>
      <c r="D340" s="471"/>
      <c r="E340" s="471"/>
      <c r="F340" s="472" t="e">
        <f>F341+F344+F347+F349+F354+F359+F363+F366</f>
        <v>#REF!</v>
      </c>
      <c r="G340" s="455" t="e">
        <f>G341+G344+G347+G349+G354+G359+G363+G366</f>
        <v>#REF!</v>
      </c>
      <c r="H340" s="473" t="e">
        <f t="shared" si="91"/>
        <v>#REF!</v>
      </c>
      <c r="I340" s="447" t="e">
        <f>F340/F400</f>
        <v>#REF!</v>
      </c>
      <c r="J340" s="474"/>
      <c r="K340" s="443" t="e">
        <f>K341+K344+K347+K349+K354+K359+K363+K366</f>
        <v>#REF!</v>
      </c>
      <c r="L340" s="443" t="e">
        <f>L341+L344+L347+L349+L354+L359+L363+L366</f>
        <v>#REF!</v>
      </c>
      <c r="M340" s="443" t="e">
        <f aca="true" t="shared" si="98" ref="M340:R340">M341+M344+M347+M349+M354+M359+M363+M366+M357</f>
        <v>#REF!</v>
      </c>
      <c r="N340" s="443" t="e">
        <f t="shared" si="98"/>
        <v>#REF!</v>
      </c>
      <c r="O340" s="443" t="e">
        <f t="shared" si="98"/>
        <v>#REF!</v>
      </c>
      <c r="P340" s="443" t="e">
        <f t="shared" si="98"/>
        <v>#REF!</v>
      </c>
      <c r="Q340" s="443" t="e">
        <f t="shared" si="98"/>
        <v>#REF!</v>
      </c>
      <c r="R340" s="443" t="e">
        <f t="shared" si="98"/>
        <v>#REF!</v>
      </c>
      <c r="S340" s="457">
        <f>S341+S347+S349+S354+S359+S363+S366+S374</f>
        <v>2910110</v>
      </c>
      <c r="T340" s="448">
        <f t="shared" si="93"/>
        <v>0.10366766613718596</v>
      </c>
      <c r="U340" s="45"/>
      <c r="V340" s="45"/>
      <c r="W340" s="45"/>
      <c r="X340" s="45"/>
      <c r="Y340" s="45"/>
    </row>
    <row r="341" spans="1:25" ht="16.5" customHeight="1">
      <c r="A341" s="60" t="s">
        <v>217</v>
      </c>
      <c r="B341" s="150" t="s">
        <v>319</v>
      </c>
      <c r="C341" s="372" t="s">
        <v>703</v>
      </c>
      <c r="D341" s="184"/>
      <c r="E341" s="184"/>
      <c r="F341" s="96">
        <f>F342+F343</f>
        <v>303000</v>
      </c>
      <c r="G341" s="153">
        <f>G342+G343</f>
        <v>373400</v>
      </c>
      <c r="H341" s="385">
        <f t="shared" si="91"/>
        <v>123.23432343234325</v>
      </c>
      <c r="I341" s="365" t="e">
        <f>F341/F400</f>
        <v>#REF!</v>
      </c>
      <c r="J341" s="44"/>
      <c r="K341" s="44">
        <f>K342+K343</f>
        <v>0</v>
      </c>
      <c r="L341" s="44">
        <f>L342+L343</f>
        <v>0</v>
      </c>
      <c r="M341" s="59">
        <f aca="true" t="shared" si="99" ref="M341:R341">M342+M343+M346</f>
        <v>449500</v>
      </c>
      <c r="N341" s="59">
        <f t="shared" si="99"/>
        <v>0</v>
      </c>
      <c r="O341" s="59">
        <f t="shared" si="99"/>
        <v>0</v>
      </c>
      <c r="P341" s="59">
        <f t="shared" si="99"/>
        <v>88600</v>
      </c>
      <c r="Q341" s="59">
        <f t="shared" si="99"/>
        <v>0</v>
      </c>
      <c r="R341" s="59">
        <f t="shared" si="99"/>
        <v>0</v>
      </c>
      <c r="S341" s="357">
        <f>S342</f>
        <v>40000</v>
      </c>
      <c r="T341" s="374">
        <f t="shared" si="93"/>
        <v>0.0014249312381619385</v>
      </c>
      <c r="U341" s="45"/>
      <c r="V341" s="45"/>
      <c r="W341" s="45"/>
      <c r="X341" s="45"/>
      <c r="Y341" s="45"/>
    </row>
    <row r="342" spans="1:20" ht="21.75" customHeight="1">
      <c r="A342" s="24" t="s">
        <v>320</v>
      </c>
      <c r="B342" s="352" t="s">
        <v>114</v>
      </c>
      <c r="C342" s="36"/>
      <c r="D342" s="21" t="s">
        <v>744</v>
      </c>
      <c r="E342" s="36">
        <v>2110</v>
      </c>
      <c r="F342" s="8">
        <v>0</v>
      </c>
      <c r="G342" s="164">
        <v>37400</v>
      </c>
      <c r="H342" s="154">
        <f t="shared" si="91"/>
      </c>
      <c r="I342" s="9" t="e">
        <f>F342/F400</f>
        <v>#REF!</v>
      </c>
      <c r="J342" s="11"/>
      <c r="K342" s="11">
        <v>0</v>
      </c>
      <c r="L342" s="11">
        <v>0</v>
      </c>
      <c r="M342" s="11">
        <v>44000</v>
      </c>
      <c r="N342" s="11">
        <v>0</v>
      </c>
      <c r="O342" s="11">
        <v>0</v>
      </c>
      <c r="P342" s="11">
        <v>45000</v>
      </c>
      <c r="Q342" s="11">
        <v>0</v>
      </c>
      <c r="R342" s="11">
        <v>0</v>
      </c>
      <c r="S342" s="11">
        <v>40000</v>
      </c>
      <c r="T342" s="9">
        <f t="shared" si="93"/>
        <v>0.0014249312381619385</v>
      </c>
    </row>
    <row r="343" spans="1:20" ht="17.25" customHeight="1" hidden="1">
      <c r="A343" s="24" t="s">
        <v>330</v>
      </c>
      <c r="B343" s="11" t="s">
        <v>710</v>
      </c>
      <c r="C343" s="36"/>
      <c r="D343" s="21" t="s">
        <v>709</v>
      </c>
      <c r="E343" s="36">
        <v>2110</v>
      </c>
      <c r="F343" s="8">
        <v>303000</v>
      </c>
      <c r="G343" s="164">
        <v>336000</v>
      </c>
      <c r="H343" s="154">
        <f t="shared" si="91"/>
        <v>110.8910891089109</v>
      </c>
      <c r="I343" s="9" t="e">
        <f>F343/F400</f>
        <v>#REF!</v>
      </c>
      <c r="J343" s="11"/>
      <c r="K343" s="11">
        <v>0</v>
      </c>
      <c r="L343" s="11">
        <v>0</v>
      </c>
      <c r="M343" s="11">
        <v>399000</v>
      </c>
      <c r="N343" s="11">
        <v>0</v>
      </c>
      <c r="O343" s="11">
        <v>0</v>
      </c>
      <c r="P343" s="11">
        <v>43600</v>
      </c>
      <c r="Q343" s="11">
        <v>0</v>
      </c>
      <c r="R343" s="11">
        <v>0</v>
      </c>
      <c r="S343" s="11">
        <v>0</v>
      </c>
      <c r="T343" s="9">
        <f t="shared" si="93"/>
        <v>0</v>
      </c>
    </row>
    <row r="344" spans="1:20" ht="18" customHeight="1" hidden="1">
      <c r="A344" s="22" t="s">
        <v>218</v>
      </c>
      <c r="B344" s="157" t="s">
        <v>402</v>
      </c>
      <c r="C344" s="21" t="s">
        <v>745</v>
      </c>
      <c r="D344" s="21"/>
      <c r="E344" s="36"/>
      <c r="F344" s="8">
        <f>F345</f>
        <v>24000</v>
      </c>
      <c r="G344" s="155">
        <f>G345</f>
        <v>0</v>
      </c>
      <c r="H344" s="148">
        <f t="shared" si="91"/>
        <v>0</v>
      </c>
      <c r="I344" s="13" t="e">
        <f>F344/F400</f>
        <v>#REF!</v>
      </c>
      <c r="J344" s="10"/>
      <c r="K344" s="10">
        <f>K345</f>
        <v>0</v>
      </c>
      <c r="L344" s="10">
        <f>L345</f>
        <v>0</v>
      </c>
      <c r="M344" s="11">
        <f>M345</f>
        <v>0</v>
      </c>
      <c r="N344" s="11"/>
      <c r="O344" s="11"/>
      <c r="P344" s="11"/>
      <c r="Q344" s="11"/>
      <c r="R344" s="11"/>
      <c r="S344" s="11"/>
      <c r="T344" s="9">
        <f t="shared" si="93"/>
        <v>0</v>
      </c>
    </row>
    <row r="345" spans="1:20" ht="21.75" customHeight="1" hidden="1">
      <c r="A345" s="27" t="s">
        <v>320</v>
      </c>
      <c r="B345" s="11" t="s">
        <v>748</v>
      </c>
      <c r="C345" s="36"/>
      <c r="D345" s="21" t="s">
        <v>747</v>
      </c>
      <c r="E345" s="36">
        <v>211</v>
      </c>
      <c r="F345" s="8">
        <v>24000</v>
      </c>
      <c r="G345" s="164">
        <v>0</v>
      </c>
      <c r="H345" s="154">
        <f t="shared" si="91"/>
        <v>0</v>
      </c>
      <c r="I345" s="9" t="e">
        <f>F345/F400</f>
        <v>#REF!</v>
      </c>
      <c r="J345" s="11"/>
      <c r="K345" s="11">
        <v>0</v>
      </c>
      <c r="L345" s="11">
        <v>0</v>
      </c>
      <c r="M345" s="11">
        <v>0</v>
      </c>
      <c r="N345" s="11"/>
      <c r="O345" s="11"/>
      <c r="P345" s="11"/>
      <c r="Q345" s="11"/>
      <c r="R345" s="11"/>
      <c r="S345" s="11"/>
      <c r="T345" s="9">
        <f t="shared" si="93"/>
        <v>0</v>
      </c>
    </row>
    <row r="346" spans="1:20" ht="27.75" customHeight="1" hidden="1">
      <c r="A346" s="27" t="s">
        <v>372</v>
      </c>
      <c r="B346" s="14" t="s">
        <v>482</v>
      </c>
      <c r="C346" s="36"/>
      <c r="D346" s="21" t="s">
        <v>483</v>
      </c>
      <c r="E346" s="36">
        <v>211</v>
      </c>
      <c r="F346" s="8"/>
      <c r="G346" s="164"/>
      <c r="H346" s="154"/>
      <c r="I346" s="9"/>
      <c r="J346" s="11"/>
      <c r="K346" s="11"/>
      <c r="L346" s="11"/>
      <c r="M346" s="11">
        <v>6500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/>
      <c r="T346" s="9">
        <f t="shared" si="93"/>
        <v>0</v>
      </c>
    </row>
    <row r="347" spans="1:20" ht="15.75" customHeight="1">
      <c r="A347" s="22" t="s">
        <v>218</v>
      </c>
      <c r="B347" s="158" t="s">
        <v>418</v>
      </c>
      <c r="C347" s="36">
        <v>700</v>
      </c>
      <c r="D347" s="36"/>
      <c r="E347" s="36"/>
      <c r="F347" s="8">
        <f>F348</f>
        <v>15000</v>
      </c>
      <c r="G347" s="155">
        <f>G348</f>
        <v>37000</v>
      </c>
      <c r="H347" s="148">
        <f t="shared" si="91"/>
        <v>246.66666666666669</v>
      </c>
      <c r="I347" s="13" t="e">
        <f>F347/F400</f>
        <v>#REF!</v>
      </c>
      <c r="J347" s="10"/>
      <c r="K347" s="10">
        <f aca="true" t="shared" si="100" ref="K347:S347">K348</f>
        <v>0</v>
      </c>
      <c r="L347" s="10">
        <f t="shared" si="100"/>
        <v>0</v>
      </c>
      <c r="M347" s="10">
        <f t="shared" si="100"/>
        <v>4000</v>
      </c>
      <c r="N347" s="10">
        <f t="shared" si="100"/>
        <v>0</v>
      </c>
      <c r="O347" s="10">
        <f t="shared" si="100"/>
        <v>0</v>
      </c>
      <c r="P347" s="196">
        <f t="shared" si="100"/>
        <v>22000</v>
      </c>
      <c r="Q347" s="196">
        <f t="shared" si="100"/>
        <v>0</v>
      </c>
      <c r="R347" s="196">
        <f t="shared" si="100"/>
        <v>0</v>
      </c>
      <c r="S347" s="342">
        <f t="shared" si="100"/>
        <v>55000</v>
      </c>
      <c r="T347" s="13">
        <f t="shared" si="93"/>
        <v>0.0019592804524726655</v>
      </c>
    </row>
    <row r="348" spans="1:20" ht="13.5" customHeight="1">
      <c r="A348" s="27" t="s">
        <v>320</v>
      </c>
      <c r="B348" s="14" t="s">
        <v>419</v>
      </c>
      <c r="C348" s="36"/>
      <c r="D348" s="36">
        <v>70005</v>
      </c>
      <c r="E348" s="36">
        <v>2110</v>
      </c>
      <c r="F348" s="8">
        <v>15000</v>
      </c>
      <c r="G348" s="156">
        <v>37000</v>
      </c>
      <c r="H348" s="154">
        <f t="shared" si="91"/>
        <v>246.66666666666669</v>
      </c>
      <c r="I348" s="9" t="e">
        <f>F348/F400</f>
        <v>#REF!</v>
      </c>
      <c r="J348" s="11"/>
      <c r="K348" s="11">
        <v>0</v>
      </c>
      <c r="L348" s="11">
        <v>0</v>
      </c>
      <c r="M348" s="11">
        <v>4000</v>
      </c>
      <c r="N348" s="11">
        <v>0</v>
      </c>
      <c r="O348" s="11">
        <v>0</v>
      </c>
      <c r="P348" s="11">
        <v>22000</v>
      </c>
      <c r="Q348" s="11">
        <v>0</v>
      </c>
      <c r="R348" s="11">
        <v>0</v>
      </c>
      <c r="S348" s="11">
        <v>55000</v>
      </c>
      <c r="T348" s="9">
        <f t="shared" si="93"/>
        <v>0.0019592804524726655</v>
      </c>
    </row>
    <row r="349" spans="1:20" ht="12.75" customHeight="1">
      <c r="A349" s="22" t="s">
        <v>220</v>
      </c>
      <c r="B349" s="7" t="s">
        <v>420</v>
      </c>
      <c r="C349" s="36">
        <v>710</v>
      </c>
      <c r="D349" s="36"/>
      <c r="E349" s="36"/>
      <c r="F349" s="8">
        <f>F350+F351+F352</f>
        <v>170602</v>
      </c>
      <c r="G349" s="155">
        <f>G350+G351+G352</f>
        <v>139020</v>
      </c>
      <c r="H349" s="148">
        <f t="shared" si="91"/>
        <v>81.48790752746157</v>
      </c>
      <c r="I349" s="13" t="e">
        <f>F349/F400</f>
        <v>#REF!</v>
      </c>
      <c r="J349" s="10"/>
      <c r="K349" s="10">
        <f aca="true" t="shared" si="101" ref="K349:P349">K350+K351+K352</f>
        <v>0</v>
      </c>
      <c r="L349" s="10">
        <f t="shared" si="101"/>
        <v>0</v>
      </c>
      <c r="M349" s="10">
        <f t="shared" si="101"/>
        <v>114563</v>
      </c>
      <c r="N349" s="10">
        <f t="shared" si="101"/>
        <v>0</v>
      </c>
      <c r="O349" s="10">
        <f t="shared" si="101"/>
        <v>0</v>
      </c>
      <c r="P349" s="196">
        <f t="shared" si="101"/>
        <v>137866</v>
      </c>
      <c r="Q349" s="196">
        <f>Q350+Q351+Q352</f>
        <v>0</v>
      </c>
      <c r="R349" s="196">
        <f>R350+R351+R352</f>
        <v>0</v>
      </c>
      <c r="S349" s="342">
        <f>S350+S351+S352+S353</f>
        <v>202852</v>
      </c>
      <c r="T349" s="13">
        <f t="shared" si="93"/>
        <v>0.007226253788090638</v>
      </c>
    </row>
    <row r="350" spans="1:20" ht="14.25" customHeight="1">
      <c r="A350" s="27" t="s">
        <v>320</v>
      </c>
      <c r="B350" s="14" t="s">
        <v>175</v>
      </c>
      <c r="C350" s="36"/>
      <c r="D350" s="36">
        <v>71013</v>
      </c>
      <c r="E350" s="36">
        <v>2110</v>
      </c>
      <c r="F350" s="8">
        <v>79900</v>
      </c>
      <c r="G350" s="156">
        <v>52100</v>
      </c>
      <c r="H350" s="154">
        <f t="shared" si="91"/>
        <v>65.20650813516896</v>
      </c>
      <c r="I350" s="9" t="e">
        <f>F350/F400</f>
        <v>#REF!</v>
      </c>
      <c r="J350" s="11"/>
      <c r="K350" s="11">
        <v>0</v>
      </c>
      <c r="L350" s="11">
        <v>0</v>
      </c>
      <c r="M350" s="11">
        <v>35000</v>
      </c>
      <c r="N350" s="11">
        <v>0</v>
      </c>
      <c r="O350" s="11">
        <v>0</v>
      </c>
      <c r="P350" s="11">
        <v>52000</v>
      </c>
      <c r="Q350" s="11">
        <v>0</v>
      </c>
      <c r="R350" s="11">
        <v>0</v>
      </c>
      <c r="S350" s="11">
        <v>42000</v>
      </c>
      <c r="T350" s="9">
        <f t="shared" si="93"/>
        <v>0.0014961778000700354</v>
      </c>
    </row>
    <row r="351" spans="1:20" ht="14.25" customHeight="1">
      <c r="A351" s="27" t="s">
        <v>330</v>
      </c>
      <c r="B351" s="14" t="s">
        <v>774</v>
      </c>
      <c r="C351" s="36"/>
      <c r="D351" s="36">
        <v>71014</v>
      </c>
      <c r="E351" s="36">
        <v>2110</v>
      </c>
      <c r="F351" s="8">
        <v>20000</v>
      </c>
      <c r="G351" s="156">
        <v>8000</v>
      </c>
      <c r="H351" s="154">
        <f t="shared" si="91"/>
        <v>40</v>
      </c>
      <c r="I351" s="9" t="e">
        <f>F351/F400</f>
        <v>#REF!</v>
      </c>
      <c r="J351" s="11"/>
      <c r="K351" s="11">
        <v>0</v>
      </c>
      <c r="L351" s="11">
        <v>0</v>
      </c>
      <c r="M351" s="11">
        <v>4000</v>
      </c>
      <c r="N351" s="11">
        <v>0</v>
      </c>
      <c r="O351" s="11">
        <v>0</v>
      </c>
      <c r="P351" s="11">
        <v>4000</v>
      </c>
      <c r="Q351" s="11">
        <v>0</v>
      </c>
      <c r="R351" s="11">
        <v>0</v>
      </c>
      <c r="S351" s="11">
        <v>8000</v>
      </c>
      <c r="T351" s="9">
        <f t="shared" si="93"/>
        <v>0.00028498624763238767</v>
      </c>
    </row>
    <row r="352" spans="1:20" ht="18" customHeight="1">
      <c r="A352" s="27" t="s">
        <v>372</v>
      </c>
      <c r="B352" s="14" t="s">
        <v>776</v>
      </c>
      <c r="C352" s="36"/>
      <c r="D352" s="36">
        <v>71015</v>
      </c>
      <c r="E352" s="36">
        <v>2110</v>
      </c>
      <c r="F352" s="8">
        <v>70702</v>
      </c>
      <c r="G352" s="156">
        <v>78920</v>
      </c>
      <c r="H352" s="154">
        <f t="shared" si="91"/>
        <v>111.62343356623575</v>
      </c>
      <c r="I352" s="9" t="e">
        <f>F352/F400</f>
        <v>#REF!</v>
      </c>
      <c r="J352" s="11"/>
      <c r="K352" s="11">
        <v>0</v>
      </c>
      <c r="L352" s="11">
        <v>0</v>
      </c>
      <c r="M352" s="11">
        <v>75563</v>
      </c>
      <c r="N352" s="11">
        <v>0</v>
      </c>
      <c r="O352" s="11">
        <v>0</v>
      </c>
      <c r="P352" s="11">
        <v>81866</v>
      </c>
      <c r="Q352" s="11">
        <v>0</v>
      </c>
      <c r="R352" s="11">
        <v>0</v>
      </c>
      <c r="S352" s="11">
        <v>149352</v>
      </c>
      <c r="T352" s="9">
        <f t="shared" si="93"/>
        <v>0.005320408257049046</v>
      </c>
    </row>
    <row r="353" spans="1:20" ht="24" customHeight="1">
      <c r="A353" s="27" t="s">
        <v>375</v>
      </c>
      <c r="B353" s="14" t="s">
        <v>839</v>
      </c>
      <c r="C353" s="36"/>
      <c r="D353" s="36">
        <v>71015</v>
      </c>
      <c r="E353" s="36">
        <v>6410</v>
      </c>
      <c r="F353" s="8"/>
      <c r="G353" s="156"/>
      <c r="H353" s="154"/>
      <c r="I353" s="9"/>
      <c r="J353" s="11"/>
      <c r="K353" s="11"/>
      <c r="L353" s="11"/>
      <c r="M353" s="11"/>
      <c r="N353" s="11"/>
      <c r="O353" s="11"/>
      <c r="P353" s="11"/>
      <c r="Q353" s="11"/>
      <c r="R353" s="11"/>
      <c r="S353" s="263">
        <v>3500</v>
      </c>
      <c r="T353" s="9">
        <f t="shared" si="93"/>
        <v>0.00012468148333916963</v>
      </c>
    </row>
    <row r="354" spans="1:20" ht="16.5" customHeight="1">
      <c r="A354" s="22" t="s">
        <v>222</v>
      </c>
      <c r="B354" s="7" t="s">
        <v>357</v>
      </c>
      <c r="C354" s="36">
        <v>750</v>
      </c>
      <c r="D354" s="36"/>
      <c r="E354" s="86"/>
      <c r="F354" s="12">
        <f>F355+F356</f>
        <v>142453</v>
      </c>
      <c r="G354" s="155">
        <f>G355+G356</f>
        <v>144857</v>
      </c>
      <c r="H354" s="148">
        <f t="shared" si="91"/>
        <v>101.68757414726261</v>
      </c>
      <c r="I354" s="13" t="e">
        <f>F354/F400</f>
        <v>#REF!</v>
      </c>
      <c r="J354" s="10"/>
      <c r="K354" s="10">
        <f aca="true" t="shared" si="102" ref="K354:P354">K355+K356</f>
        <v>0</v>
      </c>
      <c r="L354" s="10">
        <f t="shared" si="102"/>
        <v>0</v>
      </c>
      <c r="M354" s="10">
        <f t="shared" si="102"/>
        <v>97055</v>
      </c>
      <c r="N354" s="10">
        <f t="shared" si="102"/>
        <v>0</v>
      </c>
      <c r="O354" s="10">
        <f t="shared" si="102"/>
        <v>0</v>
      </c>
      <c r="P354" s="196">
        <f t="shared" si="102"/>
        <v>103976</v>
      </c>
      <c r="Q354" s="196">
        <f>Q355+Q356</f>
        <v>0</v>
      </c>
      <c r="R354" s="196">
        <f>R355+R356</f>
        <v>0</v>
      </c>
      <c r="S354" s="342">
        <f>S355+S356</f>
        <v>107258</v>
      </c>
      <c r="T354" s="13">
        <f t="shared" si="93"/>
        <v>0.0038208818685693297</v>
      </c>
    </row>
    <row r="355" spans="1:20" ht="14.25" customHeight="1">
      <c r="A355" s="27" t="s">
        <v>320</v>
      </c>
      <c r="B355" s="14" t="s">
        <v>327</v>
      </c>
      <c r="C355" s="36"/>
      <c r="D355" s="36">
        <v>75011</v>
      </c>
      <c r="E355" s="36">
        <v>2110</v>
      </c>
      <c r="F355" s="8">
        <v>120453</v>
      </c>
      <c r="G355" s="156">
        <v>120857</v>
      </c>
      <c r="H355" s="154">
        <f t="shared" si="91"/>
        <v>100.33540052966717</v>
      </c>
      <c r="I355" s="9" t="e">
        <f>F355/F400</f>
        <v>#REF!</v>
      </c>
      <c r="J355" s="11"/>
      <c r="K355" s="11">
        <v>0</v>
      </c>
      <c r="L355" s="11">
        <v>0</v>
      </c>
      <c r="M355" s="11">
        <v>86463</v>
      </c>
      <c r="N355" s="11">
        <v>0</v>
      </c>
      <c r="O355" s="11">
        <v>0</v>
      </c>
      <c r="P355" s="11">
        <v>89799</v>
      </c>
      <c r="Q355" s="11">
        <v>0</v>
      </c>
      <c r="R355" s="11">
        <v>0</v>
      </c>
      <c r="S355" s="11">
        <v>94258</v>
      </c>
      <c r="T355" s="9">
        <f t="shared" si="93"/>
        <v>0.0033577792161667</v>
      </c>
    </row>
    <row r="356" spans="1:20" ht="15" customHeight="1">
      <c r="A356" s="27" t="s">
        <v>330</v>
      </c>
      <c r="B356" s="14" t="s">
        <v>792</v>
      </c>
      <c r="C356" s="36"/>
      <c r="D356" s="36">
        <v>75045</v>
      </c>
      <c r="E356" s="36">
        <v>2110</v>
      </c>
      <c r="F356" s="8">
        <v>22000</v>
      </c>
      <c r="G356" s="156">
        <v>24000</v>
      </c>
      <c r="H356" s="154">
        <f t="shared" si="91"/>
        <v>109.09090909090908</v>
      </c>
      <c r="I356" s="9" t="e">
        <f>F356/F400</f>
        <v>#REF!</v>
      </c>
      <c r="J356" s="11"/>
      <c r="K356" s="11">
        <v>0</v>
      </c>
      <c r="L356" s="11">
        <v>0</v>
      </c>
      <c r="M356" s="11">
        <v>10592</v>
      </c>
      <c r="N356" s="11">
        <v>0</v>
      </c>
      <c r="O356" s="11">
        <v>0</v>
      </c>
      <c r="P356" s="11">
        <v>14177</v>
      </c>
      <c r="Q356" s="11">
        <v>0</v>
      </c>
      <c r="R356" s="11">
        <v>0</v>
      </c>
      <c r="S356" s="11">
        <v>13000</v>
      </c>
      <c r="T356" s="9">
        <f t="shared" si="93"/>
        <v>0.00046310265240263</v>
      </c>
    </row>
    <row r="357" spans="1:20" ht="37.5" customHeight="1" hidden="1">
      <c r="A357" s="22" t="s">
        <v>224</v>
      </c>
      <c r="B357" s="7" t="s">
        <v>488</v>
      </c>
      <c r="C357" s="86">
        <v>751</v>
      </c>
      <c r="D357" s="86"/>
      <c r="E357" s="86"/>
      <c r="F357" s="12"/>
      <c r="G357" s="155"/>
      <c r="H357" s="148"/>
      <c r="I357" s="13"/>
      <c r="J357" s="10"/>
      <c r="K357" s="10"/>
      <c r="L357" s="10"/>
      <c r="M357" s="10">
        <f aca="true" t="shared" si="103" ref="M357:R357">M358</f>
        <v>13519</v>
      </c>
      <c r="N357" s="10">
        <f t="shared" si="103"/>
        <v>0</v>
      </c>
      <c r="O357" s="10">
        <f t="shared" si="103"/>
        <v>0</v>
      </c>
      <c r="P357" s="10">
        <f t="shared" si="103"/>
        <v>0</v>
      </c>
      <c r="Q357" s="10">
        <f t="shared" si="103"/>
        <v>0</v>
      </c>
      <c r="R357" s="10">
        <f t="shared" si="103"/>
        <v>0</v>
      </c>
      <c r="S357" s="11"/>
      <c r="T357" s="9">
        <f t="shared" si="93"/>
        <v>0</v>
      </c>
    </row>
    <row r="358" spans="1:20" ht="0.75" customHeight="1" hidden="1">
      <c r="A358" s="27" t="s">
        <v>320</v>
      </c>
      <c r="B358" s="14" t="s">
        <v>489</v>
      </c>
      <c r="C358" s="36"/>
      <c r="D358" s="36">
        <v>75109</v>
      </c>
      <c r="E358" s="36">
        <v>211</v>
      </c>
      <c r="F358" s="8"/>
      <c r="G358" s="156"/>
      <c r="H358" s="154"/>
      <c r="I358" s="9"/>
      <c r="J358" s="11"/>
      <c r="K358" s="11"/>
      <c r="L358" s="11"/>
      <c r="M358" s="11">
        <v>13519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/>
      <c r="T358" s="9">
        <f t="shared" si="93"/>
        <v>0</v>
      </c>
    </row>
    <row r="359" spans="1:20" ht="21" customHeight="1">
      <c r="A359" s="22" t="s">
        <v>224</v>
      </c>
      <c r="B359" s="7" t="s">
        <v>361</v>
      </c>
      <c r="C359" s="36">
        <v>754</v>
      </c>
      <c r="D359" s="36"/>
      <c r="E359" s="36"/>
      <c r="F359" s="8">
        <f>F360+F361</f>
        <v>7342202</v>
      </c>
      <c r="G359" s="155">
        <f>G360+G361</f>
        <v>7977160</v>
      </c>
      <c r="H359" s="148">
        <f t="shared" si="91"/>
        <v>108.64805953309376</v>
      </c>
      <c r="I359" s="13" t="e">
        <f>F359/F400</f>
        <v>#REF!</v>
      </c>
      <c r="J359" s="10"/>
      <c r="K359" s="10">
        <f aca="true" t="shared" si="104" ref="K359:P359">K360+K361</f>
        <v>0</v>
      </c>
      <c r="L359" s="10">
        <f t="shared" si="104"/>
        <v>0</v>
      </c>
      <c r="M359" s="10">
        <f t="shared" si="104"/>
        <v>5218030</v>
      </c>
      <c r="N359" s="10">
        <f t="shared" si="104"/>
        <v>0</v>
      </c>
      <c r="O359" s="10">
        <f t="shared" si="104"/>
        <v>0</v>
      </c>
      <c r="P359" s="196">
        <f t="shared" si="104"/>
        <v>1833000</v>
      </c>
      <c r="Q359" s="196">
        <f>Q360+Q361</f>
        <v>0</v>
      </c>
      <c r="R359" s="196">
        <f>R360+R361</f>
        <v>0</v>
      </c>
      <c r="S359" s="342">
        <f>S361+S362</f>
        <v>2028000</v>
      </c>
      <c r="T359" s="13">
        <f t="shared" si="93"/>
        <v>0.07224401377481028</v>
      </c>
    </row>
    <row r="360" spans="1:20" ht="16.5" customHeight="1" hidden="1">
      <c r="A360" s="27" t="s">
        <v>320</v>
      </c>
      <c r="B360" s="14" t="s">
        <v>810</v>
      </c>
      <c r="C360" s="36"/>
      <c r="D360" s="36">
        <v>75405</v>
      </c>
      <c r="E360" s="36">
        <v>211</v>
      </c>
      <c r="F360" s="8">
        <v>4680178</v>
      </c>
      <c r="G360" s="156">
        <v>5102280</v>
      </c>
      <c r="H360" s="154">
        <f t="shared" si="91"/>
        <v>109.01893047657589</v>
      </c>
      <c r="I360" s="9" t="e">
        <f>F360/F400</f>
        <v>#REF!</v>
      </c>
      <c r="J360" s="11"/>
      <c r="K360" s="11">
        <v>0</v>
      </c>
      <c r="L360" s="11">
        <v>0</v>
      </c>
      <c r="M360" s="11">
        <v>3488030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/>
      <c r="T360" s="9">
        <f t="shared" si="93"/>
        <v>0</v>
      </c>
    </row>
    <row r="361" spans="1:20" ht="23.25" customHeight="1">
      <c r="A361" s="27" t="s">
        <v>320</v>
      </c>
      <c r="B361" s="14" t="s">
        <v>184</v>
      </c>
      <c r="C361" s="36"/>
      <c r="D361" s="36">
        <v>75411</v>
      </c>
      <c r="E361" s="36">
        <v>2110</v>
      </c>
      <c r="F361" s="8">
        <v>2662024</v>
      </c>
      <c r="G361" s="156">
        <v>2874880</v>
      </c>
      <c r="H361" s="154">
        <f t="shared" si="91"/>
        <v>107.99602107268755</v>
      </c>
      <c r="I361" s="9" t="e">
        <f>F361/F400</f>
        <v>#REF!</v>
      </c>
      <c r="J361" s="11"/>
      <c r="K361" s="11">
        <v>0</v>
      </c>
      <c r="L361" s="11">
        <v>0</v>
      </c>
      <c r="M361" s="23">
        <v>1730000</v>
      </c>
      <c r="N361" s="23">
        <v>0</v>
      </c>
      <c r="O361" s="23">
        <v>0</v>
      </c>
      <c r="P361" s="11">
        <v>1833000</v>
      </c>
      <c r="Q361" s="11">
        <v>0</v>
      </c>
      <c r="R361" s="11">
        <v>0</v>
      </c>
      <c r="S361" s="11">
        <v>2007000</v>
      </c>
      <c r="T361" s="9">
        <f aca="true" t="shared" si="105" ref="T361:T400">S361/$S$400</f>
        <v>0.07149592487477527</v>
      </c>
    </row>
    <row r="362" spans="1:20" ht="15" customHeight="1">
      <c r="A362" s="27" t="s">
        <v>330</v>
      </c>
      <c r="B362" s="14" t="s">
        <v>918</v>
      </c>
      <c r="C362" s="36"/>
      <c r="D362" s="36">
        <v>75414</v>
      </c>
      <c r="E362" s="36">
        <v>6410</v>
      </c>
      <c r="F362" s="8"/>
      <c r="G362" s="156"/>
      <c r="H362" s="154"/>
      <c r="I362" s="9"/>
      <c r="J362" s="11"/>
      <c r="K362" s="11"/>
      <c r="L362" s="11"/>
      <c r="M362" s="23"/>
      <c r="N362" s="23"/>
      <c r="O362" s="23"/>
      <c r="P362" s="11"/>
      <c r="Q362" s="11"/>
      <c r="R362" s="11"/>
      <c r="S362" s="263">
        <v>21000</v>
      </c>
      <c r="T362" s="9">
        <f>S362/$S$400</f>
        <v>0.0007480889000350177</v>
      </c>
    </row>
    <row r="363" spans="1:20" ht="16.5" customHeight="1">
      <c r="A363" s="22" t="s">
        <v>253</v>
      </c>
      <c r="B363" s="157" t="s">
        <v>421</v>
      </c>
      <c r="C363" s="36">
        <v>851</v>
      </c>
      <c r="D363" s="36"/>
      <c r="E363" s="36"/>
      <c r="F363" s="8">
        <f>F364</f>
        <v>1222573</v>
      </c>
      <c r="G363" s="155">
        <f>G364+G365</f>
        <v>3340880</v>
      </c>
      <c r="H363" s="148">
        <f t="shared" si="91"/>
        <v>273.26629984467183</v>
      </c>
      <c r="I363" s="13" t="e">
        <f>F363/F400</f>
        <v>#REF!</v>
      </c>
      <c r="J363" s="10"/>
      <c r="K363" s="10">
        <f>K364+K365</f>
        <v>0</v>
      </c>
      <c r="L363" s="10">
        <f>L364+L365</f>
        <v>0</v>
      </c>
      <c r="M363" s="10">
        <f>M364+M365</f>
        <v>567150</v>
      </c>
      <c r="N363" s="10">
        <f aca="true" t="shared" si="106" ref="N363:S363">N365</f>
        <v>0</v>
      </c>
      <c r="O363" s="10">
        <f t="shared" si="106"/>
        <v>70165</v>
      </c>
      <c r="P363" s="196">
        <f t="shared" si="106"/>
        <v>363000</v>
      </c>
      <c r="Q363" s="196">
        <f t="shared" si="106"/>
        <v>0</v>
      </c>
      <c r="R363" s="196">
        <f t="shared" si="106"/>
        <v>0</v>
      </c>
      <c r="S363" s="342">
        <f t="shared" si="106"/>
        <v>467000</v>
      </c>
      <c r="T363" s="13">
        <f t="shared" si="105"/>
        <v>0.01663607220554063</v>
      </c>
    </row>
    <row r="364" spans="1:20" ht="16.5" customHeight="1" hidden="1">
      <c r="A364" s="27" t="s">
        <v>320</v>
      </c>
      <c r="B364" s="11" t="s">
        <v>20</v>
      </c>
      <c r="C364" s="36"/>
      <c r="D364" s="36">
        <v>85132</v>
      </c>
      <c r="E364" s="36">
        <v>211</v>
      </c>
      <c r="F364" s="8">
        <v>1222573</v>
      </c>
      <c r="G364" s="156">
        <v>1330000</v>
      </c>
      <c r="H364" s="154">
        <f t="shared" si="91"/>
        <v>108.78695996067312</v>
      </c>
      <c r="I364" s="9" t="e">
        <f>F364/F400</f>
        <v>#REF!</v>
      </c>
      <c r="J364" s="11"/>
      <c r="K364" s="11">
        <v>0</v>
      </c>
      <c r="L364" s="11">
        <v>0</v>
      </c>
      <c r="M364" s="11">
        <v>0</v>
      </c>
      <c r="N364" s="11"/>
      <c r="O364" s="11"/>
      <c r="P364" s="11"/>
      <c r="Q364" s="11"/>
      <c r="R364" s="11"/>
      <c r="S364" s="11"/>
      <c r="T364" s="9">
        <f t="shared" si="105"/>
        <v>0</v>
      </c>
    </row>
    <row r="365" spans="1:20" ht="15.75" customHeight="1">
      <c r="A365" s="27" t="s">
        <v>320</v>
      </c>
      <c r="B365" s="14" t="s">
        <v>422</v>
      </c>
      <c r="C365" s="36"/>
      <c r="D365" s="36">
        <v>85156</v>
      </c>
      <c r="E365" s="36">
        <v>2110</v>
      </c>
      <c r="F365" s="8"/>
      <c r="G365" s="156">
        <v>2010880</v>
      </c>
      <c r="H365" s="154"/>
      <c r="I365" s="9"/>
      <c r="J365" s="11"/>
      <c r="K365" s="11">
        <v>0</v>
      </c>
      <c r="L365" s="11">
        <v>0</v>
      </c>
      <c r="M365" s="11">
        <v>567150</v>
      </c>
      <c r="N365" s="11">
        <v>0</v>
      </c>
      <c r="O365" s="11">
        <v>70165</v>
      </c>
      <c r="P365" s="11">
        <v>363000</v>
      </c>
      <c r="Q365" s="11">
        <v>0</v>
      </c>
      <c r="R365" s="11">
        <v>0</v>
      </c>
      <c r="S365" s="11">
        <v>467000</v>
      </c>
      <c r="T365" s="9">
        <f t="shared" si="105"/>
        <v>0.01663607220554063</v>
      </c>
    </row>
    <row r="366" spans="1:20" ht="15.75" customHeight="1">
      <c r="A366" s="22" t="s">
        <v>255</v>
      </c>
      <c r="B366" s="157" t="s">
        <v>833</v>
      </c>
      <c r="C366" s="86">
        <v>852</v>
      </c>
      <c r="D366" s="86"/>
      <c r="E366" s="86"/>
      <c r="F366" s="12" t="e">
        <f>F367+F369+F372+#REF!+F377</f>
        <v>#REF!</v>
      </c>
      <c r="G366" s="155" t="e">
        <f>G367+G369+G372+#REF!+G377</f>
        <v>#REF!</v>
      </c>
      <c r="H366" s="148" t="e">
        <f t="shared" si="91"/>
        <v>#REF!</v>
      </c>
      <c r="I366" s="13" t="e">
        <f>F366/F400</f>
        <v>#REF!</v>
      </c>
      <c r="J366" s="10"/>
      <c r="K366" s="10" t="e">
        <f>K369+K372+#REF!+K377</f>
        <v>#REF!</v>
      </c>
      <c r="L366" s="10" t="e">
        <f>L369+L372+#REF!+L377</f>
        <v>#REF!</v>
      </c>
      <c r="M366" s="10" t="e">
        <f>M369+M372+#REF!+M377</f>
        <v>#REF!</v>
      </c>
      <c r="N366" s="10" t="e">
        <f>N369+N372+#REF!+N377</f>
        <v>#REF!</v>
      </c>
      <c r="O366" s="10" t="e">
        <f>O369+O372+#REF!+O377</f>
        <v>#REF!</v>
      </c>
      <c r="P366" s="10" t="e">
        <f>P369+P372+#REF!+P377</f>
        <v>#REF!</v>
      </c>
      <c r="Q366" s="10" t="e">
        <f>Q369+Q372+#REF!+Q377</f>
        <v>#REF!</v>
      </c>
      <c r="R366" s="10" t="e">
        <f>R369+R372+#REF!+R377</f>
        <v>#REF!</v>
      </c>
      <c r="S366" s="343">
        <f>S368+S369+S373</f>
        <v>10000</v>
      </c>
      <c r="T366" s="13">
        <f t="shared" si="105"/>
        <v>0.0003562328095404846</v>
      </c>
    </row>
    <row r="367" spans="1:20" ht="22.5" customHeight="1" hidden="1">
      <c r="A367" s="24" t="s">
        <v>320</v>
      </c>
      <c r="B367" s="23" t="s">
        <v>194</v>
      </c>
      <c r="C367" s="36"/>
      <c r="D367" s="36">
        <v>85304</v>
      </c>
      <c r="E367" s="36">
        <v>211</v>
      </c>
      <c r="F367" s="136">
        <v>1338000</v>
      </c>
      <c r="G367" s="164">
        <v>0</v>
      </c>
      <c r="H367" s="154">
        <f t="shared" si="91"/>
        <v>0</v>
      </c>
      <c r="I367" s="9" t="e">
        <f>F367/F400</f>
        <v>#REF!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9">
        <f t="shared" si="105"/>
        <v>0</v>
      </c>
    </row>
    <row r="368" spans="1:20" ht="12.75" customHeight="1">
      <c r="A368" s="24" t="s">
        <v>320</v>
      </c>
      <c r="B368" s="23" t="s">
        <v>537</v>
      </c>
      <c r="C368" s="36"/>
      <c r="D368" s="36">
        <v>85212</v>
      </c>
      <c r="E368" s="36">
        <v>2110</v>
      </c>
      <c r="F368" s="136"/>
      <c r="G368" s="164"/>
      <c r="H368" s="154"/>
      <c r="I368" s="9"/>
      <c r="J368" s="11"/>
      <c r="K368" s="11"/>
      <c r="L368" s="11"/>
      <c r="M368" s="11"/>
      <c r="N368" s="11"/>
      <c r="O368" s="11"/>
      <c r="P368" s="11"/>
      <c r="Q368" s="11"/>
      <c r="R368" s="11"/>
      <c r="S368" s="11">
        <v>10000</v>
      </c>
      <c r="T368" s="9">
        <f>S368/$S$400</f>
        <v>0.0003562328095404846</v>
      </c>
    </row>
    <row r="369" spans="1:20" ht="13.5" customHeight="1">
      <c r="A369" s="6" t="s">
        <v>330</v>
      </c>
      <c r="B369" s="11" t="s">
        <v>423</v>
      </c>
      <c r="C369" s="36"/>
      <c r="D369" s="36">
        <v>85216</v>
      </c>
      <c r="E369" s="36">
        <v>2110</v>
      </c>
      <c r="F369" s="8">
        <v>102900</v>
      </c>
      <c r="G369" s="156">
        <v>120250</v>
      </c>
      <c r="H369" s="154">
        <f t="shared" si="91"/>
        <v>116.86103012633625</v>
      </c>
      <c r="I369" s="9" t="e">
        <f>F369/F400</f>
        <v>#REF!</v>
      </c>
      <c r="J369" s="11"/>
      <c r="K369" s="11">
        <v>0</v>
      </c>
      <c r="L369" s="11">
        <v>0</v>
      </c>
      <c r="M369" s="11">
        <v>59964</v>
      </c>
      <c r="N369" s="11">
        <v>0</v>
      </c>
      <c r="O369" s="11">
        <v>0</v>
      </c>
      <c r="P369" s="11">
        <v>12952</v>
      </c>
      <c r="Q369" s="11">
        <v>0</v>
      </c>
      <c r="R369" s="11">
        <v>0</v>
      </c>
      <c r="S369" s="11">
        <v>0</v>
      </c>
      <c r="T369" s="9">
        <f t="shared" si="105"/>
        <v>0</v>
      </c>
    </row>
    <row r="370" spans="1:20" ht="12.75" customHeight="1" hidden="1">
      <c r="A370" s="6"/>
      <c r="B370" s="11" t="s">
        <v>510</v>
      </c>
      <c r="C370" s="36"/>
      <c r="D370" s="36"/>
      <c r="E370" s="36"/>
      <c r="F370" s="8"/>
      <c r="G370" s="156"/>
      <c r="H370" s="154">
        <f t="shared" si="91"/>
      </c>
      <c r="I370" s="9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9">
        <f t="shared" si="105"/>
        <v>0</v>
      </c>
    </row>
    <row r="371" spans="1:20" ht="12.75" customHeight="1" hidden="1">
      <c r="A371" s="6"/>
      <c r="B371" s="11" t="s">
        <v>523</v>
      </c>
      <c r="C371" s="36"/>
      <c r="D371" s="36"/>
      <c r="E371" s="36"/>
      <c r="F371" s="8"/>
      <c r="G371" s="156"/>
      <c r="H371" s="154">
        <f t="shared" si="91"/>
      </c>
      <c r="I371" s="9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9">
        <f t="shared" si="105"/>
        <v>0</v>
      </c>
    </row>
    <row r="372" spans="1:20" ht="14.25" customHeight="1" hidden="1">
      <c r="A372" s="54" t="s">
        <v>330</v>
      </c>
      <c r="B372" s="107" t="s">
        <v>424</v>
      </c>
      <c r="C372" s="160"/>
      <c r="D372" s="160">
        <v>85218</v>
      </c>
      <c r="E372" s="160">
        <v>2110</v>
      </c>
      <c r="F372" s="134">
        <v>30400</v>
      </c>
      <c r="G372" s="162">
        <v>29500</v>
      </c>
      <c r="H372" s="371">
        <f t="shared" si="91"/>
        <v>97.03947368421053</v>
      </c>
      <c r="I372" s="163" t="e">
        <f>F369/F400</f>
        <v>#REF!</v>
      </c>
      <c r="J372" s="107"/>
      <c r="K372" s="107">
        <v>3043</v>
      </c>
      <c r="L372" s="107">
        <v>0</v>
      </c>
      <c r="M372" s="107">
        <v>27000</v>
      </c>
      <c r="N372" s="107">
        <v>0</v>
      </c>
      <c r="O372" s="107">
        <v>0</v>
      </c>
      <c r="P372" s="107">
        <v>26958</v>
      </c>
      <c r="Q372" s="107">
        <v>0</v>
      </c>
      <c r="R372" s="107">
        <v>0</v>
      </c>
      <c r="S372" s="107">
        <v>0</v>
      </c>
      <c r="T372" s="163">
        <f t="shared" si="105"/>
        <v>0</v>
      </c>
    </row>
    <row r="373" spans="1:20" ht="13.5" customHeight="1">
      <c r="A373" s="27" t="s">
        <v>372</v>
      </c>
      <c r="B373" s="11" t="s">
        <v>538</v>
      </c>
      <c r="C373" s="36"/>
      <c r="D373" s="36">
        <v>85295</v>
      </c>
      <c r="E373" s="36">
        <v>2120</v>
      </c>
      <c r="F373" s="8"/>
      <c r="G373" s="156"/>
      <c r="H373" s="154"/>
      <c r="I373" s="9"/>
      <c r="J373" s="11"/>
      <c r="K373" s="11"/>
      <c r="L373" s="11"/>
      <c r="M373" s="11"/>
      <c r="N373" s="11"/>
      <c r="O373" s="11"/>
      <c r="P373" s="11"/>
      <c r="Q373" s="11"/>
      <c r="R373" s="11"/>
      <c r="S373" s="263">
        <v>0</v>
      </c>
      <c r="T373" s="9">
        <f t="shared" si="105"/>
        <v>0</v>
      </c>
    </row>
    <row r="374" spans="1:20" ht="21.75" customHeight="1">
      <c r="A374" s="22" t="s">
        <v>234</v>
      </c>
      <c r="B374" s="7" t="s">
        <v>837</v>
      </c>
      <c r="C374" s="86">
        <v>853</v>
      </c>
      <c r="D374" s="86"/>
      <c r="E374" s="86"/>
      <c r="F374" s="12"/>
      <c r="G374" s="155"/>
      <c r="H374" s="148"/>
      <c r="I374" s="13"/>
      <c r="J374" s="10"/>
      <c r="K374" s="10"/>
      <c r="L374" s="10"/>
      <c r="M374" s="10"/>
      <c r="N374" s="10"/>
      <c r="O374" s="10"/>
      <c r="P374" s="10"/>
      <c r="Q374" s="10"/>
      <c r="R374" s="10"/>
      <c r="S374" s="343">
        <f>S375</f>
        <v>0</v>
      </c>
      <c r="T374" s="9">
        <f t="shared" si="105"/>
        <v>0</v>
      </c>
    </row>
    <row r="375" spans="1:20" ht="15" customHeight="1" thickBot="1">
      <c r="A375" s="27" t="s">
        <v>320</v>
      </c>
      <c r="B375" s="11" t="s">
        <v>425</v>
      </c>
      <c r="C375" s="36"/>
      <c r="D375" s="36">
        <v>85321</v>
      </c>
      <c r="E375" s="36">
        <v>2110</v>
      </c>
      <c r="F375" s="8"/>
      <c r="G375" s="156"/>
      <c r="H375" s="154"/>
      <c r="I375" s="9"/>
      <c r="J375" s="11"/>
      <c r="K375" s="11"/>
      <c r="L375" s="11"/>
      <c r="M375" s="11"/>
      <c r="N375" s="11"/>
      <c r="O375" s="11"/>
      <c r="P375" s="11"/>
      <c r="Q375" s="11"/>
      <c r="R375" s="11"/>
      <c r="S375" s="263">
        <v>0</v>
      </c>
      <c r="T375" s="9">
        <f t="shared" si="105"/>
        <v>0</v>
      </c>
    </row>
    <row r="376" spans="1:20" ht="14.25" customHeight="1" hidden="1" thickBot="1">
      <c r="A376" s="27" t="s">
        <v>330</v>
      </c>
      <c r="B376" s="11" t="s">
        <v>52</v>
      </c>
      <c r="C376" s="36"/>
      <c r="D376" s="36">
        <v>85333</v>
      </c>
      <c r="E376" s="36">
        <v>2110</v>
      </c>
      <c r="F376" s="8"/>
      <c r="G376" s="156"/>
      <c r="H376" s="154"/>
      <c r="I376" s="9"/>
      <c r="J376" s="11"/>
      <c r="K376" s="11"/>
      <c r="L376" s="11"/>
      <c r="M376" s="11"/>
      <c r="N376" s="11"/>
      <c r="O376" s="11"/>
      <c r="P376" s="11"/>
      <c r="Q376" s="11"/>
      <c r="R376" s="11"/>
      <c r="S376" s="263">
        <v>0</v>
      </c>
      <c r="T376" s="9">
        <f t="shared" si="105"/>
        <v>0</v>
      </c>
    </row>
    <row r="377" spans="1:20" ht="15.75" customHeight="1" hidden="1">
      <c r="A377" s="27" t="s">
        <v>330</v>
      </c>
      <c r="B377" s="11" t="s">
        <v>52</v>
      </c>
      <c r="C377" s="36"/>
      <c r="D377" s="36">
        <v>85333</v>
      </c>
      <c r="E377" s="36">
        <v>2110</v>
      </c>
      <c r="F377" s="8">
        <v>743000</v>
      </c>
      <c r="G377" s="156">
        <v>690000</v>
      </c>
      <c r="H377" s="154">
        <f>IF(F377&gt;0,G377/F377*100,"")</f>
        <v>92.86675639300135</v>
      </c>
      <c r="I377" s="9" t="e">
        <f>F377/F400</f>
        <v>#REF!</v>
      </c>
      <c r="J377" s="11"/>
      <c r="K377" s="11">
        <v>0</v>
      </c>
      <c r="L377" s="11">
        <v>0</v>
      </c>
      <c r="M377" s="11">
        <v>407900</v>
      </c>
      <c r="N377" s="11">
        <v>0</v>
      </c>
      <c r="O377" s="11">
        <v>0</v>
      </c>
      <c r="P377" s="11">
        <v>438234</v>
      </c>
      <c r="Q377" s="11">
        <v>0</v>
      </c>
      <c r="R377" s="11">
        <v>0</v>
      </c>
      <c r="S377" s="11">
        <v>0</v>
      </c>
      <c r="T377" s="9">
        <f t="shared" si="105"/>
        <v>0</v>
      </c>
    </row>
    <row r="378" spans="1:20" ht="63.75" customHeight="1" hidden="1">
      <c r="A378" s="22" t="s">
        <v>577</v>
      </c>
      <c r="B378" s="7" t="s">
        <v>426</v>
      </c>
      <c r="C378" s="86"/>
      <c r="D378" s="86"/>
      <c r="E378" s="86"/>
      <c r="F378" s="12"/>
      <c r="G378" s="155">
        <f>G379+G382</f>
        <v>251000</v>
      </c>
      <c r="H378" s="148"/>
      <c r="I378" s="13"/>
      <c r="J378" s="10"/>
      <c r="K378" s="10">
        <f aca="true" t="shared" si="107" ref="K378:P378">K379+K382</f>
        <v>0</v>
      </c>
      <c r="L378" s="10">
        <f t="shared" si="107"/>
        <v>0</v>
      </c>
      <c r="M378" s="10">
        <f t="shared" si="107"/>
        <v>100000</v>
      </c>
      <c r="N378" s="10">
        <f t="shared" si="107"/>
        <v>0</v>
      </c>
      <c r="O378" s="10">
        <f t="shared" si="107"/>
        <v>0</v>
      </c>
      <c r="P378" s="196">
        <f t="shared" si="107"/>
        <v>0</v>
      </c>
      <c r="Q378" s="196">
        <f>Q379+Q382</f>
        <v>0</v>
      </c>
      <c r="R378" s="196">
        <f>R379+R382</f>
        <v>0</v>
      </c>
      <c r="S378" s="11"/>
      <c r="T378" s="9">
        <f t="shared" si="105"/>
        <v>0</v>
      </c>
    </row>
    <row r="379" spans="1:20" ht="15.75" customHeight="1" hidden="1">
      <c r="A379" s="22">
        <v>1</v>
      </c>
      <c r="B379" s="7" t="s">
        <v>374</v>
      </c>
      <c r="C379" s="86">
        <v>853</v>
      </c>
      <c r="D379" s="86"/>
      <c r="E379" s="86"/>
      <c r="F379" s="12"/>
      <c r="G379" s="155">
        <f>G380</f>
        <v>191000</v>
      </c>
      <c r="H379" s="148"/>
      <c r="I379" s="13"/>
      <c r="J379" s="10"/>
      <c r="K379" s="10">
        <f aca="true" t="shared" si="108" ref="K379:M380">K380</f>
        <v>0</v>
      </c>
      <c r="L379" s="10">
        <f t="shared" si="108"/>
        <v>0</v>
      </c>
      <c r="M379" s="10">
        <f t="shared" si="108"/>
        <v>100000</v>
      </c>
      <c r="N379" s="10">
        <f aca="true" t="shared" si="109" ref="N379:R380">N380</f>
        <v>0</v>
      </c>
      <c r="O379" s="10">
        <f t="shared" si="109"/>
        <v>0</v>
      </c>
      <c r="P379" s="196">
        <f t="shared" si="109"/>
        <v>0</v>
      </c>
      <c r="Q379" s="196">
        <f t="shared" si="109"/>
        <v>0</v>
      </c>
      <c r="R379" s="196">
        <f t="shared" si="109"/>
        <v>0</v>
      </c>
      <c r="S379" s="11"/>
      <c r="T379" s="9">
        <f t="shared" si="105"/>
        <v>0</v>
      </c>
    </row>
    <row r="380" spans="1:20" ht="25.5" customHeight="1" hidden="1">
      <c r="A380" s="24" t="s">
        <v>320</v>
      </c>
      <c r="B380" s="32" t="s">
        <v>430</v>
      </c>
      <c r="C380" s="25"/>
      <c r="D380" s="86">
        <v>85324</v>
      </c>
      <c r="E380" s="86"/>
      <c r="F380" s="12"/>
      <c r="G380" s="155">
        <f>G381</f>
        <v>191000</v>
      </c>
      <c r="H380" s="148"/>
      <c r="I380" s="13"/>
      <c r="J380" s="10"/>
      <c r="K380" s="10">
        <f t="shared" si="108"/>
        <v>0</v>
      </c>
      <c r="L380" s="10">
        <f t="shared" si="108"/>
        <v>0</v>
      </c>
      <c r="M380" s="10">
        <f t="shared" si="108"/>
        <v>100000</v>
      </c>
      <c r="N380" s="10">
        <f t="shared" si="109"/>
        <v>0</v>
      </c>
      <c r="O380" s="10">
        <f t="shared" si="109"/>
        <v>0</v>
      </c>
      <c r="P380" s="196">
        <f t="shared" si="109"/>
        <v>0</v>
      </c>
      <c r="Q380" s="196">
        <f t="shared" si="109"/>
        <v>0</v>
      </c>
      <c r="R380" s="196">
        <f t="shared" si="109"/>
        <v>0</v>
      </c>
      <c r="S380" s="11"/>
      <c r="T380" s="9">
        <f t="shared" si="105"/>
        <v>0</v>
      </c>
    </row>
    <row r="381" spans="1:20" ht="36.75" customHeight="1" hidden="1">
      <c r="A381" s="22"/>
      <c r="B381" s="32" t="s">
        <v>431</v>
      </c>
      <c r="C381" s="25"/>
      <c r="D381" s="25"/>
      <c r="E381" s="25">
        <v>626</v>
      </c>
      <c r="F381" s="136"/>
      <c r="G381" s="164">
        <v>191000</v>
      </c>
      <c r="H381" s="165"/>
      <c r="I381" s="166"/>
      <c r="J381" s="23"/>
      <c r="K381" s="23">
        <v>0</v>
      </c>
      <c r="L381" s="23">
        <v>0</v>
      </c>
      <c r="M381" s="11">
        <v>100000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/>
      <c r="T381" s="9">
        <f t="shared" si="105"/>
        <v>0</v>
      </c>
    </row>
    <row r="382" spans="1:20" ht="24.75" customHeight="1" hidden="1">
      <c r="A382" s="22" t="s">
        <v>218</v>
      </c>
      <c r="B382" s="7" t="s">
        <v>432</v>
      </c>
      <c r="C382" s="86">
        <v>900</v>
      </c>
      <c r="D382" s="86"/>
      <c r="E382" s="86"/>
      <c r="F382" s="12"/>
      <c r="G382" s="155">
        <f>G383</f>
        <v>60000</v>
      </c>
      <c r="H382" s="148"/>
      <c r="I382" s="13"/>
      <c r="J382" s="10"/>
      <c r="K382" s="10">
        <f aca="true" t="shared" si="110" ref="K382:M383">K383</f>
        <v>0</v>
      </c>
      <c r="L382" s="10">
        <f t="shared" si="110"/>
        <v>0</v>
      </c>
      <c r="M382" s="10">
        <f t="shared" si="110"/>
        <v>0</v>
      </c>
      <c r="N382" s="10">
        <f aca="true" t="shared" si="111" ref="N382:R383">N383</f>
        <v>0</v>
      </c>
      <c r="O382" s="10">
        <f t="shared" si="111"/>
        <v>0</v>
      </c>
      <c r="P382" s="196">
        <f t="shared" si="111"/>
        <v>0</v>
      </c>
      <c r="Q382" s="196">
        <f t="shared" si="111"/>
        <v>0</v>
      </c>
      <c r="R382" s="196">
        <f t="shared" si="111"/>
        <v>0</v>
      </c>
      <c r="S382" s="11"/>
      <c r="T382" s="9">
        <f t="shared" si="105"/>
        <v>0</v>
      </c>
    </row>
    <row r="383" spans="1:20" ht="24.75" customHeight="1" hidden="1">
      <c r="A383" s="22" t="s">
        <v>320</v>
      </c>
      <c r="B383" s="32" t="s">
        <v>433</v>
      </c>
      <c r="C383" s="25"/>
      <c r="D383" s="86">
        <v>90011</v>
      </c>
      <c r="E383" s="86"/>
      <c r="F383" s="12"/>
      <c r="G383" s="155">
        <f>G384</f>
        <v>60000</v>
      </c>
      <c r="H383" s="148"/>
      <c r="I383" s="13"/>
      <c r="J383" s="10"/>
      <c r="K383" s="10">
        <f t="shared" si="110"/>
        <v>0</v>
      </c>
      <c r="L383" s="10">
        <f t="shared" si="110"/>
        <v>0</v>
      </c>
      <c r="M383" s="10">
        <f t="shared" si="110"/>
        <v>0</v>
      </c>
      <c r="N383" s="10">
        <f t="shared" si="111"/>
        <v>0</v>
      </c>
      <c r="O383" s="10">
        <f t="shared" si="111"/>
        <v>0</v>
      </c>
      <c r="P383" s="196">
        <f t="shared" si="111"/>
        <v>0</v>
      </c>
      <c r="Q383" s="196">
        <f t="shared" si="111"/>
        <v>0</v>
      </c>
      <c r="R383" s="196">
        <f t="shared" si="111"/>
        <v>0</v>
      </c>
      <c r="S383" s="11"/>
      <c r="T383" s="9">
        <f t="shared" si="105"/>
        <v>0</v>
      </c>
    </row>
    <row r="384" spans="1:20" ht="36" customHeight="1" hidden="1">
      <c r="A384" s="87"/>
      <c r="B384" s="169" t="s">
        <v>431</v>
      </c>
      <c r="C384" s="170"/>
      <c r="D384" s="170"/>
      <c r="E384" s="170">
        <v>626</v>
      </c>
      <c r="F384" s="379"/>
      <c r="G384" s="172">
        <v>60000</v>
      </c>
      <c r="H384" s="173"/>
      <c r="I384" s="174"/>
      <c r="J384" s="175"/>
      <c r="K384" s="175">
        <v>0</v>
      </c>
      <c r="L384" s="175">
        <v>0</v>
      </c>
      <c r="M384" s="107">
        <v>0</v>
      </c>
      <c r="N384" s="107">
        <v>0</v>
      </c>
      <c r="O384" s="107">
        <v>0</v>
      </c>
      <c r="P384" s="107">
        <v>0</v>
      </c>
      <c r="Q384" s="107">
        <v>0</v>
      </c>
      <c r="R384" s="107">
        <v>0</v>
      </c>
      <c r="S384" s="107"/>
      <c r="T384" s="163">
        <f t="shared" si="105"/>
        <v>0</v>
      </c>
    </row>
    <row r="385" spans="1:20" ht="17.25" customHeight="1" thickBot="1">
      <c r="A385" s="450" t="s">
        <v>244</v>
      </c>
      <c r="B385" s="475" t="s">
        <v>550</v>
      </c>
      <c r="C385" s="453"/>
      <c r="D385" s="453"/>
      <c r="E385" s="453"/>
      <c r="F385" s="472"/>
      <c r="G385" s="455">
        <f>G390</f>
        <v>71700</v>
      </c>
      <c r="H385" s="444"/>
      <c r="I385" s="447"/>
      <c r="J385" s="443"/>
      <c r="K385" s="443">
        <f>K390</f>
        <v>0</v>
      </c>
      <c r="L385" s="443">
        <f>L390</f>
        <v>0</v>
      </c>
      <c r="M385" s="443">
        <f aca="true" t="shared" si="112" ref="M385:R385">M390+M386</f>
        <v>52720</v>
      </c>
      <c r="N385" s="443">
        <f t="shared" si="112"/>
        <v>6000</v>
      </c>
      <c r="O385" s="443">
        <f t="shared" si="112"/>
        <v>0</v>
      </c>
      <c r="P385" s="443">
        <f t="shared" si="112"/>
        <v>15000</v>
      </c>
      <c r="Q385" s="443">
        <f t="shared" si="112"/>
        <v>103519</v>
      </c>
      <c r="R385" s="443">
        <f t="shared" si="112"/>
        <v>0</v>
      </c>
      <c r="S385" s="457">
        <f>S388+S390+S392</f>
        <v>77500</v>
      </c>
      <c r="T385" s="448">
        <f t="shared" si="105"/>
        <v>0.0027608042739387557</v>
      </c>
    </row>
    <row r="386" spans="1:20" ht="20.25" customHeight="1" hidden="1">
      <c r="A386" s="60">
        <v>1</v>
      </c>
      <c r="B386" s="152" t="s">
        <v>430</v>
      </c>
      <c r="C386" s="179">
        <v>853</v>
      </c>
      <c r="D386" s="179">
        <v>85324</v>
      </c>
      <c r="E386" s="179"/>
      <c r="F386" s="373"/>
      <c r="G386" s="151"/>
      <c r="H386" s="204"/>
      <c r="I386" s="374"/>
      <c r="J386" s="59"/>
      <c r="K386" s="59"/>
      <c r="L386" s="59"/>
      <c r="M386" s="289">
        <f aca="true" t="shared" si="113" ref="M386:R386">M387</f>
        <v>4000</v>
      </c>
      <c r="N386" s="289">
        <f t="shared" si="113"/>
        <v>6000</v>
      </c>
      <c r="O386" s="289">
        <f t="shared" si="113"/>
        <v>0</v>
      </c>
      <c r="P386" s="289">
        <f t="shared" si="113"/>
        <v>0</v>
      </c>
      <c r="Q386" s="289">
        <f t="shared" si="113"/>
        <v>0</v>
      </c>
      <c r="R386" s="289">
        <f t="shared" si="113"/>
        <v>0</v>
      </c>
      <c r="S386" s="44"/>
      <c r="T386" s="365">
        <f t="shared" si="105"/>
        <v>0</v>
      </c>
    </row>
    <row r="387" spans="1:20" ht="19.5" customHeight="1" hidden="1">
      <c r="A387" s="22"/>
      <c r="B387" s="32" t="s">
        <v>435</v>
      </c>
      <c r="C387" s="86"/>
      <c r="D387" s="25"/>
      <c r="E387" s="25">
        <v>244</v>
      </c>
      <c r="F387" s="136"/>
      <c r="G387" s="164"/>
      <c r="H387" s="165"/>
      <c r="I387" s="166"/>
      <c r="J387" s="23"/>
      <c r="K387" s="23"/>
      <c r="L387" s="23"/>
      <c r="M387" s="23">
        <v>4000</v>
      </c>
      <c r="N387" s="23">
        <v>6000</v>
      </c>
      <c r="O387" s="23">
        <v>0</v>
      </c>
      <c r="P387" s="11">
        <v>0</v>
      </c>
      <c r="Q387" s="11">
        <v>0</v>
      </c>
      <c r="R387" s="11">
        <v>0</v>
      </c>
      <c r="S387" s="11"/>
      <c r="T387" s="9">
        <f t="shared" si="105"/>
        <v>0</v>
      </c>
    </row>
    <row r="388" spans="1:20" ht="14.25" customHeight="1">
      <c r="A388" s="22" t="s">
        <v>217</v>
      </c>
      <c r="B388" s="32" t="s">
        <v>627</v>
      </c>
      <c r="C388" s="34" t="s">
        <v>703</v>
      </c>
      <c r="D388" s="34" t="s">
        <v>326</v>
      </c>
      <c r="E388" s="25"/>
      <c r="F388" s="136"/>
      <c r="G388" s="164"/>
      <c r="H388" s="165"/>
      <c r="I388" s="166"/>
      <c r="J388" s="23"/>
      <c r="K388" s="23"/>
      <c r="L388" s="23"/>
      <c r="M388" s="23"/>
      <c r="N388" s="23"/>
      <c r="O388" s="23"/>
      <c r="P388" s="23"/>
      <c r="Q388" s="23"/>
      <c r="R388" s="23"/>
      <c r="S388" s="344">
        <f>S389</f>
        <v>77500</v>
      </c>
      <c r="T388" s="13">
        <f t="shared" si="105"/>
        <v>0.0027608042739387557</v>
      </c>
    </row>
    <row r="389" spans="1:20" ht="22.5" customHeight="1">
      <c r="A389" s="22"/>
      <c r="B389" s="298" t="s">
        <v>628</v>
      </c>
      <c r="C389" s="86"/>
      <c r="D389" s="25"/>
      <c r="E389" s="25">
        <v>6260</v>
      </c>
      <c r="F389" s="136"/>
      <c r="G389" s="164"/>
      <c r="H389" s="165"/>
      <c r="I389" s="166"/>
      <c r="J389" s="23"/>
      <c r="K389" s="23"/>
      <c r="L389" s="23"/>
      <c r="M389" s="23"/>
      <c r="N389" s="23"/>
      <c r="O389" s="23"/>
      <c r="P389" s="11"/>
      <c r="Q389" s="11"/>
      <c r="R389" s="11"/>
      <c r="S389" s="263">
        <v>77500</v>
      </c>
      <c r="T389" s="13">
        <f t="shared" si="105"/>
        <v>0.0027608042739387557</v>
      </c>
    </row>
    <row r="390" spans="1:20" ht="14.25" customHeight="1">
      <c r="A390" s="87" t="s">
        <v>218</v>
      </c>
      <c r="B390" s="169" t="s">
        <v>434</v>
      </c>
      <c r="C390" s="170">
        <v>900</v>
      </c>
      <c r="D390" s="170">
        <v>90011</v>
      </c>
      <c r="E390" s="167"/>
      <c r="F390" s="171"/>
      <c r="G390" s="201">
        <f>G391</f>
        <v>71700</v>
      </c>
      <c r="H390" s="203"/>
      <c r="I390" s="202"/>
      <c r="J390" s="135"/>
      <c r="K390" s="135">
        <f aca="true" t="shared" si="114" ref="K390:R390">K391</f>
        <v>0</v>
      </c>
      <c r="L390" s="135">
        <f t="shared" si="114"/>
        <v>0</v>
      </c>
      <c r="M390" s="135">
        <f t="shared" si="114"/>
        <v>48720</v>
      </c>
      <c r="N390" s="135">
        <f t="shared" si="114"/>
        <v>0</v>
      </c>
      <c r="O390" s="135">
        <f t="shared" si="114"/>
        <v>0</v>
      </c>
      <c r="P390" s="424">
        <f t="shared" si="114"/>
        <v>15000</v>
      </c>
      <c r="Q390" s="424">
        <f t="shared" si="114"/>
        <v>103519</v>
      </c>
      <c r="R390" s="424">
        <f t="shared" si="114"/>
        <v>0</v>
      </c>
      <c r="S390" s="116">
        <f>S391</f>
        <v>0</v>
      </c>
      <c r="T390" s="163">
        <f t="shared" si="105"/>
        <v>0</v>
      </c>
    </row>
    <row r="391" spans="1:21" ht="15.75" customHeight="1">
      <c r="A391" s="22"/>
      <c r="B391" s="32" t="s">
        <v>539</v>
      </c>
      <c r="C391" s="25"/>
      <c r="D391" s="25"/>
      <c r="E391" s="25">
        <v>2440</v>
      </c>
      <c r="F391" s="136"/>
      <c r="G391" s="164">
        <v>71700</v>
      </c>
      <c r="H391" s="165"/>
      <c r="I391" s="166"/>
      <c r="J391" s="23"/>
      <c r="K391" s="23">
        <v>0</v>
      </c>
      <c r="L391" s="23">
        <v>0</v>
      </c>
      <c r="M391" s="11">
        <v>48720</v>
      </c>
      <c r="N391" s="11">
        <v>0</v>
      </c>
      <c r="O391" s="11">
        <v>0</v>
      </c>
      <c r="P391" s="11">
        <v>15000</v>
      </c>
      <c r="Q391" s="11">
        <v>103519</v>
      </c>
      <c r="R391" s="11">
        <v>0</v>
      </c>
      <c r="S391" s="11">
        <v>0</v>
      </c>
      <c r="T391" s="9">
        <f t="shared" si="105"/>
        <v>0</v>
      </c>
      <c r="U391" s="130"/>
    </row>
    <row r="392" spans="1:20" ht="15.75" customHeight="1">
      <c r="A392" s="87">
        <v>3</v>
      </c>
      <c r="B392" s="152" t="s">
        <v>378</v>
      </c>
      <c r="C392" s="188">
        <v>853</v>
      </c>
      <c r="D392" s="188">
        <v>85324</v>
      </c>
      <c r="E392" s="188"/>
      <c r="F392" s="419"/>
      <c r="G392" s="153"/>
      <c r="H392" s="407"/>
      <c r="I392" s="420"/>
      <c r="J392" s="289"/>
      <c r="K392" s="289"/>
      <c r="L392" s="289"/>
      <c r="M392" s="44"/>
      <c r="N392" s="44"/>
      <c r="O392" s="44"/>
      <c r="P392" s="44"/>
      <c r="Q392" s="44"/>
      <c r="R392" s="44"/>
      <c r="S392" s="112">
        <f>S393</f>
        <v>0</v>
      </c>
      <c r="T392" s="423">
        <f>S392/$S$400</f>
        <v>0</v>
      </c>
    </row>
    <row r="393" spans="1:20" ht="15.75" customHeight="1" thickBot="1">
      <c r="A393" s="425"/>
      <c r="B393" s="32" t="s">
        <v>539</v>
      </c>
      <c r="C393" s="25"/>
      <c r="D393" s="25"/>
      <c r="E393" s="25">
        <v>2440</v>
      </c>
      <c r="F393" s="136"/>
      <c r="G393" s="164"/>
      <c r="H393" s="165"/>
      <c r="I393" s="166"/>
      <c r="J393" s="23"/>
      <c r="K393" s="23"/>
      <c r="L393" s="23"/>
      <c r="M393" s="11"/>
      <c r="N393" s="11"/>
      <c r="O393" s="11"/>
      <c r="P393" s="11"/>
      <c r="Q393" s="11"/>
      <c r="R393" s="11"/>
      <c r="S393" s="263">
        <v>0</v>
      </c>
      <c r="T393" s="421">
        <f>S393/$S$400</f>
        <v>0</v>
      </c>
    </row>
    <row r="394" spans="1:20" s="449" customFormat="1" ht="21" customHeight="1" thickBot="1">
      <c r="A394" s="450" t="s">
        <v>577</v>
      </c>
      <c r="B394" s="476" t="s">
        <v>436</v>
      </c>
      <c r="C394" s="477"/>
      <c r="D394" s="477"/>
      <c r="E394" s="477"/>
      <c r="F394" s="460">
        <f>F395+F397+F398</f>
        <v>18256353</v>
      </c>
      <c r="G394" s="461">
        <f>G395+G397+G398</f>
        <v>19845254</v>
      </c>
      <c r="H394" s="462">
        <f aca="true" t="shared" si="115" ref="H394:H403">IF(F394&gt;0,G394/F394*100,"")</f>
        <v>108.7032771550813</v>
      </c>
      <c r="I394" s="467" t="e">
        <f>F394/F400</f>
        <v>#REF!</v>
      </c>
      <c r="J394" s="464"/>
      <c r="K394" s="465">
        <f aca="true" t="shared" si="116" ref="K394:R394">K395+K397+K398</f>
        <v>0</v>
      </c>
      <c r="L394" s="465">
        <f t="shared" si="116"/>
        <v>0</v>
      </c>
      <c r="M394" s="478">
        <f t="shared" si="116"/>
        <v>12637777</v>
      </c>
      <c r="N394" s="478">
        <f t="shared" si="116"/>
        <v>77228</v>
      </c>
      <c r="O394" s="478">
        <f t="shared" si="116"/>
        <v>0</v>
      </c>
      <c r="P394" s="478">
        <f t="shared" si="116"/>
        <v>14410458</v>
      </c>
      <c r="Q394" s="478">
        <f t="shared" si="116"/>
        <v>0</v>
      </c>
      <c r="R394" s="478">
        <f t="shared" si="116"/>
        <v>0</v>
      </c>
      <c r="S394" s="479">
        <f>S395+S396+S397+S399</f>
        <v>15833854</v>
      </c>
      <c r="T394" s="468">
        <f t="shared" si="105"/>
        <v>0.564053829627384</v>
      </c>
    </row>
    <row r="395" spans="1:20" ht="19.5" customHeight="1">
      <c r="A395" s="63" t="s">
        <v>217</v>
      </c>
      <c r="B395" s="62" t="s">
        <v>437</v>
      </c>
      <c r="C395" s="184">
        <v>758</v>
      </c>
      <c r="D395" s="184">
        <v>75801</v>
      </c>
      <c r="E395" s="147" t="s">
        <v>521</v>
      </c>
      <c r="F395" s="96">
        <v>14303852</v>
      </c>
      <c r="G395" s="397">
        <v>15307838</v>
      </c>
      <c r="H395" s="385">
        <f t="shared" si="115"/>
        <v>107.0189904090171</v>
      </c>
      <c r="I395" s="365" t="e">
        <f>F395/F400</f>
        <v>#REF!</v>
      </c>
      <c r="J395" s="44"/>
      <c r="K395" s="44">
        <v>0</v>
      </c>
      <c r="L395" s="44">
        <v>0</v>
      </c>
      <c r="M395" s="398">
        <v>9810952</v>
      </c>
      <c r="N395" s="398">
        <v>77228</v>
      </c>
      <c r="O395" s="398">
        <v>0</v>
      </c>
      <c r="P395" s="44">
        <v>11299642</v>
      </c>
      <c r="Q395" s="44">
        <v>0</v>
      </c>
      <c r="R395" s="44">
        <v>0</v>
      </c>
      <c r="S395" s="44">
        <v>12708530</v>
      </c>
      <c r="T395" s="365">
        <f t="shared" si="105"/>
        <v>0.4527195347029535</v>
      </c>
    </row>
    <row r="396" spans="1:20" ht="21.75" customHeight="1">
      <c r="A396" s="27" t="s">
        <v>218</v>
      </c>
      <c r="B396" s="298" t="s">
        <v>707</v>
      </c>
      <c r="C396" s="36">
        <v>758</v>
      </c>
      <c r="D396" s="36">
        <v>75802</v>
      </c>
      <c r="E396" s="21" t="s">
        <v>704</v>
      </c>
      <c r="F396" s="8"/>
      <c r="G396" s="156"/>
      <c r="H396" s="154"/>
      <c r="I396" s="9"/>
      <c r="J396" s="11"/>
      <c r="K396" s="11"/>
      <c r="L396" s="11"/>
      <c r="M396" s="197"/>
      <c r="N396" s="197"/>
      <c r="O396" s="197"/>
      <c r="P396" s="11"/>
      <c r="Q396" s="11"/>
      <c r="R396" s="11"/>
      <c r="S396" s="263">
        <v>0</v>
      </c>
      <c r="T396" s="9">
        <f t="shared" si="105"/>
        <v>0</v>
      </c>
    </row>
    <row r="397" spans="1:20" ht="22.5" customHeight="1">
      <c r="A397" s="27" t="s">
        <v>220</v>
      </c>
      <c r="B397" s="14" t="s">
        <v>438</v>
      </c>
      <c r="C397" s="36">
        <v>758</v>
      </c>
      <c r="D397" s="36">
        <v>75803</v>
      </c>
      <c r="E397" s="21" t="s">
        <v>521</v>
      </c>
      <c r="F397" s="8">
        <v>857613</v>
      </c>
      <c r="G397" s="156">
        <v>912417</v>
      </c>
      <c r="H397" s="154">
        <f t="shared" si="115"/>
        <v>106.39029492323459</v>
      </c>
      <c r="I397" s="9" t="e">
        <f>F397/F400</f>
        <v>#REF!</v>
      </c>
      <c r="J397" s="11"/>
      <c r="K397" s="11">
        <v>0</v>
      </c>
      <c r="L397" s="11">
        <v>0</v>
      </c>
      <c r="M397" s="197">
        <v>531382</v>
      </c>
      <c r="N397" s="197">
        <v>0</v>
      </c>
      <c r="O397" s="197">
        <v>0</v>
      </c>
      <c r="P397" s="11">
        <v>543491</v>
      </c>
      <c r="Q397" s="11">
        <v>0</v>
      </c>
      <c r="R397" s="11">
        <v>0</v>
      </c>
      <c r="S397" s="11">
        <v>1461789</v>
      </c>
      <c r="T397" s="9">
        <f t="shared" si="105"/>
        <v>0.05207372024253755</v>
      </c>
    </row>
    <row r="398" spans="1:20" ht="23.25" customHeight="1" hidden="1">
      <c r="A398" s="27" t="s">
        <v>222</v>
      </c>
      <c r="B398" s="14" t="s">
        <v>705</v>
      </c>
      <c r="C398" s="36">
        <v>758</v>
      </c>
      <c r="D398" s="36">
        <v>75806</v>
      </c>
      <c r="E398" s="21" t="s">
        <v>521</v>
      </c>
      <c r="F398" s="8">
        <v>3094888</v>
      </c>
      <c r="G398" s="156">
        <v>3624999</v>
      </c>
      <c r="H398" s="154">
        <f t="shared" si="115"/>
        <v>117.12860045339282</v>
      </c>
      <c r="I398" s="9" t="e">
        <f>F398/F400</f>
        <v>#REF!</v>
      </c>
      <c r="J398" s="11"/>
      <c r="K398" s="11">
        <v>0</v>
      </c>
      <c r="L398" s="11">
        <v>0</v>
      </c>
      <c r="M398" s="197">
        <v>2295443</v>
      </c>
      <c r="N398" s="197">
        <v>0</v>
      </c>
      <c r="O398" s="197">
        <v>0</v>
      </c>
      <c r="P398" s="11">
        <v>2567325</v>
      </c>
      <c r="Q398" s="11">
        <v>0</v>
      </c>
      <c r="R398" s="11">
        <v>0</v>
      </c>
      <c r="S398" s="11">
        <v>0</v>
      </c>
      <c r="T398" s="9">
        <f t="shared" si="105"/>
        <v>0</v>
      </c>
    </row>
    <row r="399" spans="1:20" ht="23.25" customHeight="1" thickBot="1">
      <c r="A399" s="27">
        <v>4</v>
      </c>
      <c r="B399" s="115" t="s">
        <v>706</v>
      </c>
      <c r="C399" s="160">
        <v>758</v>
      </c>
      <c r="D399" s="160">
        <v>75832</v>
      </c>
      <c r="E399" s="161" t="s">
        <v>521</v>
      </c>
      <c r="F399" s="134"/>
      <c r="G399" s="162"/>
      <c r="H399" s="371"/>
      <c r="I399" s="163"/>
      <c r="J399" s="107"/>
      <c r="K399" s="107"/>
      <c r="L399" s="107"/>
      <c r="M399" s="399"/>
      <c r="N399" s="399"/>
      <c r="O399" s="399"/>
      <c r="P399" s="107"/>
      <c r="Q399" s="107"/>
      <c r="R399" s="107"/>
      <c r="S399" s="116">
        <v>1663535</v>
      </c>
      <c r="T399" s="163">
        <f t="shared" si="105"/>
        <v>0.059260574681893004</v>
      </c>
    </row>
    <row r="400" spans="1:20" ht="18.75" customHeight="1">
      <c r="A400" s="480"/>
      <c r="B400" s="481" t="s">
        <v>439</v>
      </c>
      <c r="C400" s="482"/>
      <c r="D400" s="482"/>
      <c r="E400" s="482"/>
      <c r="F400" s="483" t="e">
        <f>F17+F172+F222+F306+F310+F319+F340+F394</f>
        <v>#REF!</v>
      </c>
      <c r="G400" s="484" t="e">
        <f>G17+G156+G172+G181+G222+G306+G310+G319+G340+G394+G378+G385</f>
        <v>#REF!</v>
      </c>
      <c r="H400" s="485" t="e">
        <f t="shared" si="115"/>
        <v>#REF!</v>
      </c>
      <c r="I400" s="486" t="e">
        <f>F400/F400</f>
        <v>#REF!</v>
      </c>
      <c r="J400" s="487"/>
      <c r="K400" s="487" t="e">
        <f>K17+K156+K172+K181+K222+K340+K394+K378+K385</f>
        <v>#REF!</v>
      </c>
      <c r="L400" s="487" t="e">
        <f>L17+L156+L172+L181+L222+L340++L394+L378+L385</f>
        <v>#REF!</v>
      </c>
      <c r="M400" s="488" t="e">
        <f>M17+M156+M172+M181+M222+M340+M378+M385+M394+#REF!+#REF!</f>
        <v>#REF!</v>
      </c>
      <c r="N400" s="488" t="e">
        <f>N17+N156+N172+N181+#REF!+#REF!+N222+N340+N378+N385+N394</f>
        <v>#REF!</v>
      </c>
      <c r="O400" s="488" t="e">
        <f>O17+O156+O172+O181+#REF!+#REF!+O222+O340+O378+O385+O394</f>
        <v>#REF!</v>
      </c>
      <c r="P400" s="488" t="e">
        <f>P17+P156+P172+P181+P222+P340+P378+P385+P394+P213+P187+P195</f>
        <v>#REF!</v>
      </c>
      <c r="Q400" s="488" t="e">
        <f>Q17+Q156+Q172+Q181+Q222+Q340+Q378+Q385+Q394+Q213+Q187+Q195</f>
        <v>#REF!</v>
      </c>
      <c r="R400" s="488" t="e">
        <f>R17+R156+R172+R181+R222+R340+R378+R385+R394+R213+R187+R195</f>
        <v>#REF!</v>
      </c>
      <c r="S400" s="489">
        <f>S17+S156+S195+S222+S340+S385+S394</f>
        <v>28071530</v>
      </c>
      <c r="T400" s="490">
        <f t="shared" si="105"/>
        <v>1</v>
      </c>
    </row>
    <row r="401" spans="1:20" ht="18" customHeight="1">
      <c r="A401" s="263"/>
      <c r="B401" s="268" t="s">
        <v>440</v>
      </c>
      <c r="C401" s="11"/>
      <c r="D401" s="11"/>
      <c r="E401" s="11"/>
      <c r="F401" s="8" t="e">
        <f>F172+F222+F306+F310+F319+F340</f>
        <v>#REF!</v>
      </c>
      <c r="G401" s="156" t="e">
        <f>G172+G181+G222+G340+G378+G385</f>
        <v>#REF!</v>
      </c>
      <c r="H401" s="154" t="e">
        <f t="shared" si="115"/>
        <v>#REF!</v>
      </c>
      <c r="I401" s="9" t="e">
        <f>F401/F400</f>
        <v>#REF!</v>
      </c>
      <c r="J401" s="11"/>
      <c r="K401" s="11" t="e">
        <f>K172+K181+K222+K340+K378+K385</f>
        <v>#REF!</v>
      </c>
      <c r="L401" s="11" t="e">
        <f>L172+L181+L222+L340+L378+L385</f>
        <v>#REF!</v>
      </c>
      <c r="M401" s="197" t="e">
        <f>M172+M181+M222+M340+M378+M385+#REF!+#REF!+M156</f>
        <v>#REF!</v>
      </c>
      <c r="N401" s="197" t="e">
        <f>N172+N181+N222+N340+N378+N385+#REF!+#REF!+N156</f>
        <v>#REF!</v>
      </c>
      <c r="O401" s="197" t="e">
        <f>O172+O181+O222+O340+O378+O385+#REF!+#REF!+O156</f>
        <v>#REF!</v>
      </c>
      <c r="P401" s="197" t="e">
        <f>P187+P222+P340+P156+P213+P195+P385</f>
        <v>#REF!</v>
      </c>
      <c r="Q401" s="197" t="e">
        <f>Q187+Q222+Q340+Q156+Q213+Q195+Q385</f>
        <v>#REF!</v>
      </c>
      <c r="R401" s="197" t="e">
        <f>R187+R222+R340+R156+R213+R195+R385</f>
        <v>#REF!</v>
      </c>
      <c r="S401" s="197">
        <f>S402+S403+S405+S406</f>
        <v>7857910</v>
      </c>
      <c r="T401" s="400">
        <f aca="true" t="shared" si="117" ref="T401:T406">S401/$S$400</f>
        <v>0.27992453564162695</v>
      </c>
    </row>
    <row r="402" spans="1:20" ht="18.75" customHeight="1">
      <c r="A402" s="263"/>
      <c r="B402" s="401" t="s">
        <v>522</v>
      </c>
      <c r="C402" s="11"/>
      <c r="D402" s="11"/>
      <c r="E402" s="11"/>
      <c r="F402" s="8">
        <f>F222+F306</f>
        <v>4984505</v>
      </c>
      <c r="G402" s="156" t="e">
        <f>G222+G306</f>
        <v>#REF!</v>
      </c>
      <c r="H402" s="154" t="e">
        <f t="shared" si="115"/>
        <v>#REF!</v>
      </c>
      <c r="I402" s="9" t="e">
        <f>F402/F400</f>
        <v>#REF!</v>
      </c>
      <c r="J402" s="11"/>
      <c r="K402" s="11" t="e">
        <f aca="true" t="shared" si="118" ref="K402:P402">K222</f>
        <v>#REF!</v>
      </c>
      <c r="L402" s="11" t="e">
        <f t="shared" si="118"/>
        <v>#REF!</v>
      </c>
      <c r="M402" s="197" t="e">
        <f t="shared" si="118"/>
        <v>#REF!</v>
      </c>
      <c r="N402" s="197" t="e">
        <f>N222</f>
        <v>#REF!</v>
      </c>
      <c r="O402" s="197" t="e">
        <f t="shared" si="118"/>
        <v>#REF!</v>
      </c>
      <c r="P402" s="197">
        <f t="shared" si="118"/>
        <v>3663893</v>
      </c>
      <c r="Q402" s="197">
        <f>Q222</f>
        <v>48298</v>
      </c>
      <c r="R402" s="197">
        <f>R222</f>
        <v>0</v>
      </c>
      <c r="S402" s="197">
        <f>S222</f>
        <v>578000</v>
      </c>
      <c r="T402" s="400">
        <f t="shared" si="117"/>
        <v>0.02059025639144001</v>
      </c>
    </row>
    <row r="403" spans="1:20" ht="18.75" customHeight="1">
      <c r="A403" s="263"/>
      <c r="B403" s="401" t="s">
        <v>605</v>
      </c>
      <c r="C403" s="11"/>
      <c r="D403" s="11"/>
      <c r="E403" s="11"/>
      <c r="F403" s="8" t="e">
        <f>F340</f>
        <v>#REF!</v>
      </c>
      <c r="G403" s="156" t="e">
        <f>G340</f>
        <v>#REF!</v>
      </c>
      <c r="H403" s="154" t="e">
        <f t="shared" si="115"/>
        <v>#REF!</v>
      </c>
      <c r="I403" s="9" t="e">
        <f>F403/F400</f>
        <v>#REF!</v>
      </c>
      <c r="J403" s="11"/>
      <c r="K403" s="11" t="e">
        <f aca="true" t="shared" si="119" ref="K403:P403">K340</f>
        <v>#REF!</v>
      </c>
      <c r="L403" s="11" t="e">
        <f t="shared" si="119"/>
        <v>#REF!</v>
      </c>
      <c r="M403" s="197" t="e">
        <f t="shared" si="119"/>
        <v>#REF!</v>
      </c>
      <c r="N403" s="197" t="e">
        <f t="shared" si="119"/>
        <v>#REF!</v>
      </c>
      <c r="O403" s="197" t="e">
        <f t="shared" si="119"/>
        <v>#REF!</v>
      </c>
      <c r="P403" s="197" t="e">
        <f t="shared" si="119"/>
        <v>#REF!</v>
      </c>
      <c r="Q403" s="197" t="e">
        <f>Q340</f>
        <v>#REF!</v>
      </c>
      <c r="R403" s="197" t="e">
        <f>R340</f>
        <v>#REF!</v>
      </c>
      <c r="S403" s="197">
        <f>S340</f>
        <v>2910110</v>
      </c>
      <c r="T403" s="400">
        <f t="shared" si="117"/>
        <v>0.10366766613718596</v>
      </c>
    </row>
    <row r="404" spans="1:20" ht="16.5" customHeight="1" hidden="1">
      <c r="A404" s="263"/>
      <c r="B404" s="401" t="s">
        <v>443</v>
      </c>
      <c r="C404" s="11"/>
      <c r="D404" s="11"/>
      <c r="E404" s="11"/>
      <c r="F404" s="8"/>
      <c r="G404" s="156">
        <f>G378+G385</f>
        <v>322700</v>
      </c>
      <c r="H404" s="154"/>
      <c r="I404" s="9"/>
      <c r="J404" s="11"/>
      <c r="K404" s="11">
        <f aca="true" t="shared" si="120" ref="K404:P404">K378+K385</f>
        <v>0</v>
      </c>
      <c r="L404" s="11">
        <f t="shared" si="120"/>
        <v>0</v>
      </c>
      <c r="M404" s="197">
        <f t="shared" si="120"/>
        <v>152720</v>
      </c>
      <c r="N404" s="197">
        <f t="shared" si="120"/>
        <v>6000</v>
      </c>
      <c r="O404" s="197">
        <f t="shared" si="120"/>
        <v>0</v>
      </c>
      <c r="P404" s="197">
        <f t="shared" si="120"/>
        <v>15000</v>
      </c>
      <c r="Q404" s="197">
        <f>Q378+Q385</f>
        <v>103519</v>
      </c>
      <c r="R404" s="197">
        <f>R378+R385</f>
        <v>0</v>
      </c>
      <c r="S404" s="11"/>
      <c r="T404" s="400">
        <f t="shared" si="117"/>
        <v>0</v>
      </c>
    </row>
    <row r="405" spans="1:20" ht="17.25" customHeight="1">
      <c r="A405" s="263"/>
      <c r="B405" s="546" t="s">
        <v>540</v>
      </c>
      <c r="C405" s="547"/>
      <c r="D405" s="547"/>
      <c r="E405" s="547"/>
      <c r="F405" s="8">
        <f>F172+F310+F319</f>
        <v>1591330</v>
      </c>
      <c r="G405" s="156">
        <f>G172+G181</f>
        <v>78010</v>
      </c>
      <c r="H405" s="154">
        <f>IF(F405&gt;0,G405/F405*100,"")</f>
        <v>4.902188735208914</v>
      </c>
      <c r="I405" s="9" t="e">
        <f>F405/F400</f>
        <v>#REF!</v>
      </c>
      <c r="J405" s="11"/>
      <c r="K405" s="11">
        <f>K172+K181</f>
        <v>200000</v>
      </c>
      <c r="L405" s="11">
        <f>L172+L181</f>
        <v>0</v>
      </c>
      <c r="M405" s="197" t="e">
        <f>M172+M181+#REF!+#REF!</f>
        <v>#REF!</v>
      </c>
      <c r="N405" s="197" t="e">
        <f>N172+N181+#REF!+#REF!</f>
        <v>#REF!</v>
      </c>
      <c r="O405" s="197" t="e">
        <f>O172+O181+#REF!+#REF!</f>
        <v>#REF!</v>
      </c>
      <c r="P405" s="197">
        <f>P187+P213+P195</f>
        <v>417325</v>
      </c>
      <c r="Q405" s="197">
        <f>Q187+Q213+Q195</f>
        <v>0</v>
      </c>
      <c r="R405" s="197">
        <f>R187+R213+R195</f>
        <v>12000</v>
      </c>
      <c r="S405" s="197">
        <f>S195</f>
        <v>1353867</v>
      </c>
      <c r="T405" s="400">
        <f t="shared" si="117"/>
        <v>0.048229184515414726</v>
      </c>
    </row>
    <row r="406" spans="1:20" ht="18.75" customHeight="1" thickBot="1">
      <c r="A406" s="263"/>
      <c r="B406" s="544" t="s">
        <v>541</v>
      </c>
      <c r="C406" s="545"/>
      <c r="D406" s="545"/>
      <c r="E406" s="545"/>
      <c r="F406" s="121"/>
      <c r="G406" s="121"/>
      <c r="H406" s="121"/>
      <c r="I406" s="121"/>
      <c r="J406" s="121"/>
      <c r="K406" s="121"/>
      <c r="L406" s="121"/>
      <c r="M406" s="402">
        <f>M156</f>
        <v>211009</v>
      </c>
      <c r="N406" s="402">
        <f>N156</f>
        <v>0</v>
      </c>
      <c r="O406" s="402">
        <f>O156</f>
        <v>0</v>
      </c>
      <c r="P406" s="403">
        <f>P156+P385</f>
        <v>603025</v>
      </c>
      <c r="Q406" s="403">
        <f>Q156+Q385</f>
        <v>423519</v>
      </c>
      <c r="R406" s="403">
        <f>R156+R385</f>
        <v>0</v>
      </c>
      <c r="S406" s="403">
        <f>S156+S385</f>
        <v>3015933</v>
      </c>
      <c r="T406" s="404">
        <f t="shared" si="117"/>
        <v>0.10743742859758623</v>
      </c>
    </row>
    <row r="407" ht="6.75" customHeight="1"/>
    <row r="408" ht="14.25" customHeight="1"/>
    <row r="409" ht="14.25" customHeight="1">
      <c r="B409" t="s">
        <v>548</v>
      </c>
    </row>
    <row r="410" ht="14.25" customHeight="1"/>
    <row r="411" ht="12.75">
      <c r="P411" t="s">
        <v>635</v>
      </c>
    </row>
  </sheetData>
  <mergeCells count="23">
    <mergeCell ref="Q12:Q15"/>
    <mergeCell ref="R12:R15"/>
    <mergeCell ref="M12:M15"/>
    <mergeCell ref="P12:P15"/>
    <mergeCell ref="O13:O15"/>
    <mergeCell ref="N13:N15"/>
    <mergeCell ref="N12:O12"/>
    <mergeCell ref="T2:T4"/>
    <mergeCell ref="S12:S15"/>
    <mergeCell ref="T12:T15"/>
    <mergeCell ref="E2:S4"/>
    <mergeCell ref="K13:K15"/>
    <mergeCell ref="L13:L15"/>
    <mergeCell ref="I14:I15"/>
    <mergeCell ref="A6:T11"/>
    <mergeCell ref="A12:A15"/>
    <mergeCell ref="B12:B14"/>
    <mergeCell ref="H13:H15"/>
    <mergeCell ref="G13:G15"/>
    <mergeCell ref="C12:E14"/>
    <mergeCell ref="B406:E406"/>
    <mergeCell ref="B405:E405"/>
    <mergeCell ref="F13:F15"/>
  </mergeCells>
  <printOptions/>
  <pageMargins left="0.2755905511811024" right="0.2362204724409449" top="0.6299212598425197" bottom="0.984251968503937" header="0.4330708661417323" footer="0.5118110236220472"/>
  <pageSetup horizontalDpi="300" verticalDpi="300" orientation="portrait" paperSize="9" r:id="rId1"/>
  <headerFooter alignWithMargins="0">
    <oddFooter>&amp;CStrona &amp;P</oddFooter>
  </headerFooter>
  <rowBreaks count="1" manualBreakCount="1">
    <brk id="129" min="2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D1">
      <selection activeCell="A3" sqref="A3:N3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7.125" style="0" customWidth="1"/>
    <col min="5" max="6" width="12.875" style="0" customWidth="1"/>
    <col min="7" max="7" width="10.625" style="0" customWidth="1"/>
    <col min="8" max="8" width="10.125" style="0" hidden="1" customWidth="1"/>
    <col min="9" max="9" width="11.125" style="0" customWidth="1"/>
    <col min="10" max="10" width="10.875" style="0" customWidth="1"/>
    <col min="11" max="11" width="11.625" style="0" customWidth="1"/>
    <col min="12" max="12" width="13.00390625" style="0" customWidth="1"/>
    <col min="13" max="13" width="12.625" style="0" customWidth="1"/>
    <col min="14" max="14" width="14.25390625" style="0" customWidth="1"/>
  </cols>
  <sheetData>
    <row r="2" spans="5:14" ht="17.25" customHeight="1">
      <c r="E2" s="139"/>
      <c r="I2" s="519" t="s">
        <v>9</v>
      </c>
      <c r="J2" s="519"/>
      <c r="K2" s="519"/>
      <c r="L2" s="519"/>
      <c r="M2" s="519"/>
      <c r="N2" s="519"/>
    </row>
    <row r="3" spans="1:14" ht="27" customHeight="1">
      <c r="A3" s="639" t="s">
        <v>295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4" ht="24.75" customHeight="1">
      <c r="A4" s="637" t="s">
        <v>105</v>
      </c>
      <c r="B4" s="637" t="s">
        <v>106</v>
      </c>
      <c r="C4" s="631" t="s">
        <v>693</v>
      </c>
      <c r="D4" s="641" t="s">
        <v>296</v>
      </c>
      <c r="E4" s="641" t="s">
        <v>183</v>
      </c>
      <c r="F4" s="640" t="s">
        <v>297</v>
      </c>
      <c r="G4" s="640"/>
      <c r="H4" s="640"/>
      <c r="I4" s="640"/>
      <c r="J4" s="640"/>
      <c r="K4" s="640"/>
      <c r="L4" s="640"/>
      <c r="M4" s="634"/>
      <c r="N4" s="638" t="s">
        <v>298</v>
      </c>
    </row>
    <row r="5" spans="1:14" ht="12.75" customHeight="1">
      <c r="A5" s="637"/>
      <c r="B5" s="637"/>
      <c r="C5" s="632"/>
      <c r="D5" s="641"/>
      <c r="E5" s="641"/>
      <c r="F5" s="642" t="s">
        <v>670</v>
      </c>
      <c r="G5" s="640" t="s">
        <v>299</v>
      </c>
      <c r="H5" s="640"/>
      <c r="I5" s="640"/>
      <c r="J5" s="640"/>
      <c r="K5" s="284"/>
      <c r="L5" s="637" t="s">
        <v>895</v>
      </c>
      <c r="M5" s="637" t="s">
        <v>671</v>
      </c>
      <c r="N5" s="638"/>
    </row>
    <row r="6" spans="1:14" ht="58.5" customHeight="1">
      <c r="A6" s="637"/>
      <c r="B6" s="637"/>
      <c r="C6" s="633"/>
      <c r="D6" s="641"/>
      <c r="E6" s="641"/>
      <c r="F6" s="643"/>
      <c r="G6" s="140" t="s">
        <v>300</v>
      </c>
      <c r="H6" s="140" t="s">
        <v>301</v>
      </c>
      <c r="I6" s="293" t="s">
        <v>921</v>
      </c>
      <c r="J6" s="293" t="s">
        <v>922</v>
      </c>
      <c r="K6" s="293" t="s">
        <v>919</v>
      </c>
      <c r="L6" s="637"/>
      <c r="M6" s="637"/>
      <c r="N6" s="638"/>
    </row>
    <row r="7" spans="1:14" ht="12.75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284">
        <v>9</v>
      </c>
      <c r="J7" s="284">
        <v>10</v>
      </c>
      <c r="K7" s="284">
        <v>11</v>
      </c>
      <c r="L7" s="284">
        <v>12</v>
      </c>
      <c r="M7" s="285">
        <v>13</v>
      </c>
      <c r="N7" s="284">
        <v>14</v>
      </c>
    </row>
    <row r="8" spans="1:14" ht="47.25" customHeight="1" hidden="1">
      <c r="A8" s="315">
        <v>600</v>
      </c>
      <c r="B8" s="315">
        <v>60014</v>
      </c>
      <c r="C8" s="315">
        <v>6050</v>
      </c>
      <c r="D8" s="303" t="s">
        <v>302</v>
      </c>
      <c r="E8" s="142">
        <f aca="true" t="shared" si="0" ref="E8:E13">F8+L8+M8</f>
        <v>0</v>
      </c>
      <c r="F8" s="142">
        <f>G8+H8+J8+I8</f>
        <v>0</v>
      </c>
      <c r="G8" s="142"/>
      <c r="H8" s="142"/>
      <c r="I8" s="142"/>
      <c r="J8" s="142"/>
      <c r="K8" s="142"/>
      <c r="L8" s="142"/>
      <c r="M8" s="142"/>
      <c r="N8" s="316" t="s">
        <v>293</v>
      </c>
    </row>
    <row r="9" spans="1:14" ht="78" customHeight="1">
      <c r="A9" s="315">
        <v>600</v>
      </c>
      <c r="B9" s="315">
        <v>60014</v>
      </c>
      <c r="C9" s="315">
        <v>6059</v>
      </c>
      <c r="D9" s="303" t="s">
        <v>920</v>
      </c>
      <c r="E9" s="142">
        <f t="shared" si="0"/>
        <v>1404058</v>
      </c>
      <c r="F9" s="142">
        <f>G9+H9+J9+I9+K9</f>
        <v>606504</v>
      </c>
      <c r="G9" s="142">
        <v>0</v>
      </c>
      <c r="H9" s="142">
        <v>0</v>
      </c>
      <c r="I9" s="142">
        <v>101626</v>
      </c>
      <c r="J9" s="142">
        <v>50000</v>
      </c>
      <c r="K9" s="142">
        <v>454878</v>
      </c>
      <c r="L9" s="142">
        <v>797554</v>
      </c>
      <c r="M9" s="142">
        <v>0</v>
      </c>
      <c r="N9" s="316" t="s">
        <v>293</v>
      </c>
    </row>
    <row r="10" spans="1:14" ht="78" customHeight="1">
      <c r="A10" s="315">
        <v>600</v>
      </c>
      <c r="B10" s="315">
        <v>60014</v>
      </c>
      <c r="C10" s="315">
        <v>6059</v>
      </c>
      <c r="D10" s="303" t="s">
        <v>923</v>
      </c>
      <c r="E10" s="142">
        <f t="shared" si="0"/>
        <v>6248800</v>
      </c>
      <c r="F10" s="142">
        <f>G10+H10+J10+I10+K10</f>
        <v>2000000</v>
      </c>
      <c r="G10" s="142">
        <v>0</v>
      </c>
      <c r="H10" s="142">
        <v>0</v>
      </c>
      <c r="I10" s="142">
        <v>470000</v>
      </c>
      <c r="J10" s="142">
        <v>30000</v>
      </c>
      <c r="K10" s="142">
        <v>1500000</v>
      </c>
      <c r="L10" s="142">
        <v>2000000</v>
      </c>
      <c r="M10" s="142">
        <v>2248800</v>
      </c>
      <c r="N10" s="316" t="s">
        <v>293</v>
      </c>
    </row>
    <row r="11" spans="1:14" ht="79.5" customHeight="1">
      <c r="A11" s="315">
        <v>600</v>
      </c>
      <c r="B11" s="315">
        <v>60014</v>
      </c>
      <c r="C11" s="315">
        <v>6059</v>
      </c>
      <c r="D11" s="303" t="s">
        <v>803</v>
      </c>
      <c r="E11" s="142">
        <f t="shared" si="0"/>
        <v>941480</v>
      </c>
      <c r="F11" s="142">
        <f>G11+H11+I11+J11+K11</f>
        <v>291480</v>
      </c>
      <c r="G11" s="142">
        <v>36435</v>
      </c>
      <c r="H11" s="142"/>
      <c r="I11" s="142">
        <v>0</v>
      </c>
      <c r="J11" s="142">
        <v>36435</v>
      </c>
      <c r="K11" s="142">
        <v>218610</v>
      </c>
      <c r="L11" s="142">
        <v>650000</v>
      </c>
      <c r="M11" s="142">
        <v>0</v>
      </c>
      <c r="N11" s="316" t="s">
        <v>293</v>
      </c>
    </row>
    <row r="12" spans="1:14" ht="35.25" customHeight="1">
      <c r="A12" s="315">
        <v>750</v>
      </c>
      <c r="B12" s="315">
        <v>75020</v>
      </c>
      <c r="C12" s="315">
        <v>6059</v>
      </c>
      <c r="D12" s="303" t="s">
        <v>925</v>
      </c>
      <c r="E12" s="142">
        <f t="shared" si="0"/>
        <v>238076</v>
      </c>
      <c r="F12" s="142">
        <f>G12+I12+J12+K12</f>
        <v>238076</v>
      </c>
      <c r="G12" s="142">
        <v>0</v>
      </c>
      <c r="H12" s="142"/>
      <c r="I12" s="142">
        <v>30000</v>
      </c>
      <c r="J12" s="142">
        <v>29519</v>
      </c>
      <c r="K12" s="142">
        <v>178557</v>
      </c>
      <c r="L12" s="142">
        <v>0</v>
      </c>
      <c r="M12" s="142">
        <v>0</v>
      </c>
      <c r="N12" s="316" t="s">
        <v>303</v>
      </c>
    </row>
    <row r="13" spans="1:15" ht="35.25" customHeight="1">
      <c r="A13" s="317">
        <v>851</v>
      </c>
      <c r="B13" s="317">
        <v>85111</v>
      </c>
      <c r="C13" s="317">
        <v>6050</v>
      </c>
      <c r="D13" s="345" t="s">
        <v>924</v>
      </c>
      <c r="E13" s="205">
        <f t="shared" si="0"/>
        <v>13700000</v>
      </c>
      <c r="F13" s="142">
        <f>G13+H13+J13+I13+K13</f>
        <v>795224</v>
      </c>
      <c r="G13" s="205">
        <v>52374</v>
      </c>
      <c r="H13" s="205">
        <v>0</v>
      </c>
      <c r="I13" s="205">
        <v>86500</v>
      </c>
      <c r="J13" s="205">
        <v>656350</v>
      </c>
      <c r="K13" s="205">
        <v>0</v>
      </c>
      <c r="L13" s="205">
        <v>12904776</v>
      </c>
      <c r="M13" s="205">
        <v>0</v>
      </c>
      <c r="N13" s="318" t="s">
        <v>303</v>
      </c>
      <c r="O13" s="270"/>
    </row>
    <row r="14" spans="1:14" ht="26.25" customHeight="1">
      <c r="A14" s="634" t="s">
        <v>304</v>
      </c>
      <c r="B14" s="635"/>
      <c r="C14" s="635"/>
      <c r="D14" s="636"/>
      <c r="E14" s="143">
        <f>E9+E10+E11+E12+E13</f>
        <v>22532414</v>
      </c>
      <c r="F14" s="143">
        <f>F9+F10+F11+F12+F13</f>
        <v>3931284</v>
      </c>
      <c r="G14" s="143">
        <f>G9+G10+G11+G12+G13</f>
        <v>88809</v>
      </c>
      <c r="H14" s="143">
        <f>H9+H10+H13</f>
        <v>0</v>
      </c>
      <c r="I14" s="143">
        <f>I9+I10+I11+I12+I13</f>
        <v>688126</v>
      </c>
      <c r="J14" s="143">
        <f>J9+J10+J11+J12+J13</f>
        <v>802304</v>
      </c>
      <c r="K14" s="143">
        <f>K9+K10+K11+K12+K13</f>
        <v>2352045</v>
      </c>
      <c r="L14" s="143">
        <f>L9+L10+L11+L12+L13</f>
        <v>16352330</v>
      </c>
      <c r="M14" s="143">
        <f>SUM(M8:M13)</f>
        <v>2248800</v>
      </c>
      <c r="N14" s="143"/>
    </row>
    <row r="15" spans="1:11" ht="16.5" customHeight="1">
      <c r="A15" s="291" t="s">
        <v>672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</row>
    <row r="16" spans="1:11" ht="12.75">
      <c r="A16" s="291" t="s">
        <v>926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</row>
    <row r="17" spans="1:11" ht="12.75">
      <c r="A17" s="291" t="s">
        <v>536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</row>
    <row r="18" spans="1:11" ht="12.75" hidden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</row>
    <row r="19" spans="1:11" ht="12.7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</row>
    <row r="20" spans="1:11" ht="12.7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  <row r="21" spans="1:11" ht="12.7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</row>
    <row r="22" ht="12" customHeight="1"/>
    <row r="23" ht="12.75" hidden="1"/>
    <row r="24" ht="18" customHeight="1"/>
  </sheetData>
  <mergeCells count="14">
    <mergeCell ref="E4:E6"/>
    <mergeCell ref="D4:D6"/>
    <mergeCell ref="L5:L6"/>
    <mergeCell ref="F5:F6"/>
    <mergeCell ref="I2:N2"/>
    <mergeCell ref="C4:C6"/>
    <mergeCell ref="A14:D14"/>
    <mergeCell ref="M5:M6"/>
    <mergeCell ref="N4:N6"/>
    <mergeCell ref="A3:N3"/>
    <mergeCell ref="A4:A6"/>
    <mergeCell ref="B4:B6"/>
    <mergeCell ref="G5:J5"/>
    <mergeCell ref="F4:M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3" sqref="C3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44"/>
      <c r="F1" s="644"/>
      <c r="G1" s="644"/>
      <c r="H1" s="644"/>
      <c r="I1" s="644"/>
      <c r="J1" s="644"/>
      <c r="K1" s="644"/>
    </row>
    <row r="2" spans="3:11" ht="21" customHeight="1">
      <c r="C2" s="645" t="s">
        <v>10</v>
      </c>
      <c r="D2" s="645"/>
      <c r="E2" s="645"/>
      <c r="F2" s="645"/>
      <c r="G2" s="645"/>
      <c r="H2" s="645"/>
      <c r="I2" s="645"/>
      <c r="J2" s="645"/>
      <c r="K2" s="645"/>
    </row>
    <row r="3" spans="3:11" ht="21" customHeight="1">
      <c r="C3" s="412"/>
      <c r="D3" s="412"/>
      <c r="E3" s="412"/>
      <c r="F3" s="412"/>
      <c r="G3" s="412"/>
      <c r="H3" s="412"/>
      <c r="I3" s="412"/>
      <c r="J3" s="412"/>
      <c r="K3" s="412"/>
    </row>
    <row r="4" spans="3:11" ht="12.75">
      <c r="C4" s="645"/>
      <c r="D4" s="645"/>
      <c r="E4" s="645"/>
      <c r="F4" s="645"/>
      <c r="G4" s="645"/>
      <c r="H4" s="645"/>
      <c r="I4" s="645"/>
      <c r="J4" s="645"/>
      <c r="K4" s="645"/>
    </row>
    <row r="5" spans="1:11" ht="28.5" customHeight="1">
      <c r="A5" s="646" t="s">
        <v>673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9" customHeight="1">
      <c r="A7" s="628" t="s">
        <v>473</v>
      </c>
      <c r="B7" s="628" t="s">
        <v>464</v>
      </c>
      <c r="C7" s="651" t="s">
        <v>647</v>
      </c>
      <c r="D7" s="652"/>
      <c r="E7" s="647" t="s">
        <v>470</v>
      </c>
      <c r="F7" s="648"/>
      <c r="G7" s="651" t="s">
        <v>648</v>
      </c>
      <c r="H7" s="652"/>
      <c r="I7" s="241"/>
      <c r="J7" s="241"/>
      <c r="K7" s="542" t="s">
        <v>649</v>
      </c>
    </row>
    <row r="8" spans="1:11" ht="37.5" customHeight="1">
      <c r="A8" s="630"/>
      <c r="B8" s="630"/>
      <c r="C8" s="653"/>
      <c r="D8" s="654"/>
      <c r="E8" s="649"/>
      <c r="F8" s="650"/>
      <c r="G8" s="653"/>
      <c r="H8" s="654"/>
      <c r="I8" s="243"/>
      <c r="J8" s="243"/>
      <c r="K8" s="542"/>
    </row>
    <row r="9" spans="1:11" ht="14.25" customHeight="1">
      <c r="A9" s="239">
        <v>1</v>
      </c>
      <c r="B9" s="239">
        <v>2</v>
      </c>
      <c r="C9" s="242">
        <v>3</v>
      </c>
      <c r="D9" s="243"/>
      <c r="E9" s="244">
        <v>4</v>
      </c>
      <c r="F9" s="245"/>
      <c r="G9" s="2">
        <v>7</v>
      </c>
      <c r="H9" s="2"/>
      <c r="I9" s="2"/>
      <c r="J9" s="2"/>
      <c r="K9" s="133">
        <v>10</v>
      </c>
    </row>
    <row r="10" spans="1:11" ht="38.25">
      <c r="A10" s="10" t="s">
        <v>209</v>
      </c>
      <c r="B10" s="7" t="s">
        <v>650</v>
      </c>
      <c r="C10" s="10">
        <f>C12+C15+C17+C19+C24</f>
        <v>8460</v>
      </c>
      <c r="D10" s="10">
        <f>D11+D12+D13+D14+D15+D16+D17+D18+D19+D20+D21+D22+D23</f>
        <v>18301</v>
      </c>
      <c r="E10" s="10">
        <f>E12+E15+E17+E19+E24</f>
        <v>259520</v>
      </c>
      <c r="F10" s="10">
        <f>F11+F12+F13+F14+F15+F16+F17+F18+F19+F20+F21+F22+F23</f>
        <v>419470</v>
      </c>
      <c r="G10" s="10">
        <f>G12+G15+G17+G19+G24</f>
        <v>262960</v>
      </c>
      <c r="H10" s="10">
        <f>H11+H12+H13+H14+H15+H16+H17+H18+H19+H20+H21+H22+H23</f>
        <v>424812</v>
      </c>
      <c r="I10" s="10"/>
      <c r="J10" s="10"/>
      <c r="K10" s="10">
        <f>K12+K15+K17+K19+K24</f>
        <v>5020</v>
      </c>
    </row>
    <row r="11" spans="1:11" ht="25.5" hidden="1">
      <c r="A11" s="11" t="s">
        <v>217</v>
      </c>
      <c r="B11" s="14" t="s">
        <v>616</v>
      </c>
      <c r="C11" s="11">
        <v>0</v>
      </c>
      <c r="D11" s="11">
        <v>5558</v>
      </c>
      <c r="E11" s="11">
        <v>0</v>
      </c>
      <c r="F11" s="11">
        <v>182220</v>
      </c>
      <c r="G11" s="11">
        <v>0</v>
      </c>
      <c r="H11" s="11">
        <v>181928</v>
      </c>
      <c r="I11" s="11"/>
      <c r="J11" s="11"/>
      <c r="K11" s="11">
        <f>C11+E11-G11</f>
        <v>0</v>
      </c>
    </row>
    <row r="12" spans="1:11" ht="25.5">
      <c r="A12" s="11" t="s">
        <v>217</v>
      </c>
      <c r="B12" s="14" t="s">
        <v>291</v>
      </c>
      <c r="C12" s="11">
        <v>7800</v>
      </c>
      <c r="D12" s="11">
        <v>2200</v>
      </c>
      <c r="E12" s="11">
        <v>97020</v>
      </c>
      <c r="F12" s="11">
        <v>99450</v>
      </c>
      <c r="G12" s="11">
        <v>104300</v>
      </c>
      <c r="H12" s="11">
        <v>100550</v>
      </c>
      <c r="I12" s="11"/>
      <c r="J12" s="11"/>
      <c r="K12" s="11">
        <f>C12+E12-G12</f>
        <v>520</v>
      </c>
    </row>
    <row r="13" spans="1:11" ht="25.5" hidden="1">
      <c r="A13" s="11" t="s">
        <v>220</v>
      </c>
      <c r="B13" s="14" t="s">
        <v>474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>
        <v>0</v>
      </c>
    </row>
    <row r="14" spans="1:11" ht="25.5" hidden="1">
      <c r="A14" s="11" t="s">
        <v>222</v>
      </c>
      <c r="B14" s="14" t="s">
        <v>475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11"/>
      <c r="K14" s="11">
        <v>0</v>
      </c>
    </row>
    <row r="15" spans="1:11" ht="31.5" customHeight="1">
      <c r="A15" s="11">
        <v>2</v>
      </c>
      <c r="B15" s="14" t="s">
        <v>804</v>
      </c>
      <c r="C15" s="11">
        <v>0</v>
      </c>
      <c r="D15" s="11">
        <v>6009</v>
      </c>
      <c r="E15" s="11">
        <v>128500</v>
      </c>
      <c r="F15" s="11">
        <v>101000</v>
      </c>
      <c r="G15" s="11">
        <v>124000</v>
      </c>
      <c r="H15" s="11">
        <v>101000</v>
      </c>
      <c r="I15" s="11"/>
      <c r="J15" s="11"/>
      <c r="K15" s="11">
        <f>C15+E15-G15</f>
        <v>4500</v>
      </c>
    </row>
    <row r="16" spans="1:11" ht="25.5" hidden="1">
      <c r="A16" s="11" t="s">
        <v>253</v>
      </c>
      <c r="B16" s="14" t="s">
        <v>476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/>
      <c r="K16" s="11">
        <v>0</v>
      </c>
    </row>
    <row r="17" spans="1:11" ht="38.25" customHeight="1">
      <c r="A17" s="11">
        <v>3</v>
      </c>
      <c r="B17" s="14" t="s">
        <v>805</v>
      </c>
      <c r="C17" s="11">
        <v>660</v>
      </c>
      <c r="D17" s="11">
        <v>0</v>
      </c>
      <c r="E17" s="11">
        <v>17000</v>
      </c>
      <c r="F17" s="11">
        <v>8100</v>
      </c>
      <c r="G17" s="11">
        <v>17660</v>
      </c>
      <c r="H17" s="11">
        <v>8100</v>
      </c>
      <c r="I17" s="11"/>
      <c r="J17" s="11"/>
      <c r="K17" s="11">
        <f>C17+E17-G17</f>
        <v>0</v>
      </c>
    </row>
    <row r="18" spans="1:11" ht="25.5" hidden="1">
      <c r="A18" s="11" t="s">
        <v>234</v>
      </c>
      <c r="B18" s="14" t="s">
        <v>477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>
        <v>0</v>
      </c>
    </row>
    <row r="19" spans="1:11" ht="20.25" customHeight="1">
      <c r="A19" s="11">
        <v>4</v>
      </c>
      <c r="B19" s="14" t="s">
        <v>478</v>
      </c>
      <c r="C19" s="11">
        <v>0</v>
      </c>
      <c r="D19" s="11">
        <v>4534</v>
      </c>
      <c r="E19" s="11">
        <v>2000</v>
      </c>
      <c r="F19" s="11">
        <v>5200</v>
      </c>
      <c r="G19" s="11">
        <v>2000</v>
      </c>
      <c r="H19" s="11">
        <v>9734</v>
      </c>
      <c r="I19" s="11"/>
      <c r="J19" s="11"/>
      <c r="K19" s="11">
        <f>C19+E19-G19</f>
        <v>0</v>
      </c>
    </row>
    <row r="20" spans="1:11" ht="27" customHeight="1" hidden="1">
      <c r="A20" s="11" t="s">
        <v>292</v>
      </c>
      <c r="B20" s="14" t="s">
        <v>479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>
        <v>0</v>
      </c>
    </row>
    <row r="21" spans="1:11" ht="25.5" hidden="1">
      <c r="A21" s="11" t="s">
        <v>253</v>
      </c>
      <c r="B21" s="14" t="s">
        <v>293</v>
      </c>
      <c r="C21" s="11">
        <v>0</v>
      </c>
      <c r="D21" s="11">
        <v>0</v>
      </c>
      <c r="E21" s="11">
        <v>15000</v>
      </c>
      <c r="F21" s="11">
        <v>23500</v>
      </c>
      <c r="G21" s="11">
        <v>15000</v>
      </c>
      <c r="H21" s="11">
        <v>23500</v>
      </c>
      <c r="I21" s="11"/>
      <c r="J21" s="11"/>
      <c r="K21" s="11">
        <f>C21+E21-G21</f>
        <v>0</v>
      </c>
    </row>
    <row r="22" spans="1:11" ht="25.5" hidden="1">
      <c r="A22" s="11" t="s">
        <v>294</v>
      </c>
      <c r="B22" s="14" t="s">
        <v>480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>
        <v>0</v>
      </c>
    </row>
    <row r="23" spans="1:11" ht="26.25" customHeight="1" hidden="1">
      <c r="A23" s="11" t="s">
        <v>255</v>
      </c>
      <c r="B23" s="14" t="s">
        <v>481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J23" s="11"/>
      <c r="K23" s="11">
        <f>E23-G23</f>
        <v>0</v>
      </c>
    </row>
    <row r="24" spans="1:11" ht="29.25" customHeight="1">
      <c r="A24" s="11">
        <v>5</v>
      </c>
      <c r="B24" s="14" t="s">
        <v>293</v>
      </c>
      <c r="C24" s="11">
        <v>0</v>
      </c>
      <c r="D24" s="11"/>
      <c r="E24" s="11">
        <v>15000</v>
      </c>
      <c r="F24" s="11"/>
      <c r="G24" s="11">
        <v>15000</v>
      </c>
      <c r="H24" s="11"/>
      <c r="I24" s="11"/>
      <c r="J24" s="11"/>
      <c r="K24" s="11">
        <f>C24+E24-G24</f>
        <v>0</v>
      </c>
    </row>
    <row r="27" ht="12.75">
      <c r="E27" t="s">
        <v>635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52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33.75" customHeight="1">
      <c r="C1" s="623" t="s">
        <v>11</v>
      </c>
      <c r="D1" s="623"/>
    </row>
    <row r="2" spans="1:4" ht="32.25" customHeight="1">
      <c r="A2" s="655" t="s">
        <v>674</v>
      </c>
      <c r="B2" s="655"/>
      <c r="C2" s="655"/>
      <c r="D2" s="655"/>
    </row>
    <row r="3" spans="1:4" ht="24.75" customHeight="1">
      <c r="A3" s="2" t="s">
        <v>205</v>
      </c>
      <c r="B3" s="2" t="s">
        <v>529</v>
      </c>
      <c r="C3" s="2" t="s">
        <v>530</v>
      </c>
      <c r="D3" s="2" t="s">
        <v>531</v>
      </c>
    </row>
    <row r="4" spans="1:4" ht="12.75">
      <c r="A4" s="253">
        <v>1</v>
      </c>
      <c r="B4" s="253">
        <v>2</v>
      </c>
      <c r="C4" s="253">
        <v>4</v>
      </c>
      <c r="D4" s="253">
        <v>5</v>
      </c>
    </row>
    <row r="5" spans="1:5" ht="18.75" customHeight="1">
      <c r="A5" s="135" t="s">
        <v>217</v>
      </c>
      <c r="B5" s="7" t="s">
        <v>655</v>
      </c>
      <c r="C5" s="295"/>
      <c r="D5" s="12">
        <f>D6+D7</f>
        <v>132267</v>
      </c>
      <c r="E5" s="266"/>
    </row>
    <row r="6" spans="1:5" ht="17.25" customHeight="1">
      <c r="A6" s="297"/>
      <c r="B6" s="298" t="s">
        <v>656</v>
      </c>
      <c r="C6" s="299">
        <v>80120</v>
      </c>
      <c r="D6" s="300">
        <v>44006</v>
      </c>
      <c r="E6" s="266"/>
    </row>
    <row r="7" spans="1:4" ht="17.25" customHeight="1">
      <c r="A7" s="297"/>
      <c r="B7" s="298" t="s">
        <v>657</v>
      </c>
      <c r="C7" s="299">
        <v>80130</v>
      </c>
      <c r="D7" s="300">
        <v>88261</v>
      </c>
    </row>
    <row r="8" spans="1:4" ht="12.75" hidden="1">
      <c r="A8" s="297"/>
      <c r="B8" s="302" t="s">
        <v>535</v>
      </c>
      <c r="C8" s="304">
        <v>0</v>
      </c>
      <c r="D8" s="305">
        <v>0</v>
      </c>
    </row>
    <row r="9" spans="1:4" ht="24.75" customHeight="1">
      <c r="A9" s="503" t="s">
        <v>218</v>
      </c>
      <c r="B9" s="58" t="s">
        <v>658</v>
      </c>
      <c r="C9" s="307"/>
      <c r="D9" s="373">
        <f>D10+D11</f>
        <v>159590</v>
      </c>
    </row>
    <row r="10" spans="1:4" ht="18.75" customHeight="1">
      <c r="A10" s="297"/>
      <c r="B10" s="298" t="s">
        <v>659</v>
      </c>
      <c r="C10" s="299">
        <v>80120</v>
      </c>
      <c r="D10" s="300">
        <v>132018</v>
      </c>
    </row>
    <row r="11" spans="1:4" ht="18.75" customHeight="1">
      <c r="A11" s="297"/>
      <c r="B11" s="298" t="s">
        <v>660</v>
      </c>
      <c r="C11" s="299">
        <v>80130</v>
      </c>
      <c r="D11" s="300">
        <v>27572</v>
      </c>
    </row>
    <row r="12" spans="1:4" ht="12.75" hidden="1">
      <c r="A12" s="304" t="s">
        <v>222</v>
      </c>
      <c r="B12" s="294" t="s">
        <v>532</v>
      </c>
      <c r="C12" s="308"/>
      <c r="D12" s="296">
        <f>D13</f>
        <v>0</v>
      </c>
    </row>
    <row r="13" spans="1:4" ht="24" customHeight="1" hidden="1">
      <c r="A13" s="301"/>
      <c r="B13" s="302" t="s">
        <v>533</v>
      </c>
      <c r="C13" s="304">
        <v>0</v>
      </c>
      <c r="D13" s="305">
        <v>0</v>
      </c>
    </row>
    <row r="14" spans="1:5" ht="25.5" customHeight="1">
      <c r="A14" s="135" t="s">
        <v>220</v>
      </c>
      <c r="B14" s="504" t="s">
        <v>661</v>
      </c>
      <c r="C14" s="295"/>
      <c r="D14" s="12">
        <f>D15+D16+D17+D18</f>
        <v>568060</v>
      </c>
      <c r="E14" s="266"/>
    </row>
    <row r="15" spans="1:4" ht="12.75">
      <c r="A15" s="297"/>
      <c r="B15" s="310" t="s">
        <v>662</v>
      </c>
      <c r="C15" s="299">
        <v>80105</v>
      </c>
      <c r="D15" s="300">
        <v>88543</v>
      </c>
    </row>
    <row r="16" spans="1:4" ht="12.75">
      <c r="A16" s="297"/>
      <c r="B16" s="310" t="s">
        <v>663</v>
      </c>
      <c r="C16" s="299">
        <v>80102</v>
      </c>
      <c r="D16" s="300">
        <v>183727</v>
      </c>
    </row>
    <row r="17" spans="1:4" ht="12.75">
      <c r="A17" s="297"/>
      <c r="B17" s="310" t="s">
        <v>664</v>
      </c>
      <c r="C17" s="299">
        <v>80111</v>
      </c>
      <c r="D17" s="300">
        <v>114830</v>
      </c>
    </row>
    <row r="18" spans="1:4" ht="12.75">
      <c r="A18" s="301"/>
      <c r="B18" s="311" t="s">
        <v>665</v>
      </c>
      <c r="C18" s="304">
        <v>80134</v>
      </c>
      <c r="D18" s="305">
        <v>180960</v>
      </c>
    </row>
    <row r="19" spans="1:4" ht="12.75" hidden="1">
      <c r="A19" s="297"/>
      <c r="B19" s="312"/>
      <c r="C19" s="301"/>
      <c r="D19" s="306"/>
    </row>
    <row r="20" spans="1:4" ht="13.5" customHeight="1">
      <c r="A20" s="313"/>
      <c r="B20" s="505" t="s">
        <v>534</v>
      </c>
      <c r="C20" s="314"/>
      <c r="D20" s="506">
        <f>D5+D9+D14</f>
        <v>859917</v>
      </c>
    </row>
    <row r="21" spans="1:4" ht="12.75">
      <c r="A21" s="291"/>
      <c r="B21" s="291"/>
      <c r="C21" s="291"/>
      <c r="D21" s="292"/>
    </row>
    <row r="22" spans="1:4" ht="12.75">
      <c r="A22" s="291"/>
      <c r="B22" s="291"/>
      <c r="C22" s="291"/>
      <c r="D22" s="292"/>
    </row>
    <row r="23" spans="1:4" ht="16.5" customHeight="1">
      <c r="A23" s="291"/>
      <c r="B23" s="291"/>
      <c r="C23" s="146" t="s">
        <v>666</v>
      </c>
      <c r="D23" s="292"/>
    </row>
    <row r="24" spans="3:4" ht="48" customHeight="1">
      <c r="C24" t="s">
        <v>667</v>
      </c>
      <c r="D24" s="266"/>
    </row>
    <row r="25" ht="12.75">
      <c r="D25" s="266"/>
    </row>
    <row r="26" ht="12.75">
      <c r="D26" s="266"/>
    </row>
    <row r="27" ht="12.75">
      <c r="D27" s="266"/>
    </row>
    <row r="28" ht="12.75">
      <c r="D28" s="266"/>
    </row>
    <row r="29" ht="12.75">
      <c r="D29" s="266"/>
    </row>
    <row r="30" ht="12.75">
      <c r="D30" s="266"/>
    </row>
    <row r="31" ht="12.75">
      <c r="D31" s="266"/>
    </row>
    <row r="32" ht="12.75">
      <c r="D32" s="266"/>
    </row>
    <row r="33" ht="12.75">
      <c r="D33" s="266"/>
    </row>
  </sheetData>
  <mergeCells count="2">
    <mergeCell ref="A2:D2"/>
    <mergeCell ref="C1:D1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:C2"/>
    </sheetView>
  </sheetViews>
  <sheetFormatPr defaultColWidth="9.00390625" defaultRowHeight="12.75"/>
  <cols>
    <col min="1" max="1" width="44.375" style="0" customWidth="1"/>
    <col min="2" max="2" width="30.375" style="0" customWidth="1"/>
    <col min="3" max="3" width="11.00390625" style="0" customWidth="1"/>
  </cols>
  <sheetData>
    <row r="1" spans="2:3" ht="39.75" customHeight="1">
      <c r="B1" s="566" t="s">
        <v>12</v>
      </c>
      <c r="C1" s="566"/>
    </row>
    <row r="2" spans="1:3" ht="39.75" customHeight="1">
      <c r="A2" s="661" t="s">
        <v>675</v>
      </c>
      <c r="B2" s="661"/>
      <c r="C2" s="661"/>
    </row>
    <row r="3" spans="1:3" ht="12.75">
      <c r="A3" s="269"/>
      <c r="B3" s="269"/>
      <c r="C3" s="269"/>
    </row>
    <row r="5" ht="13.5" thickBot="1">
      <c r="C5" s="255" t="s">
        <v>574</v>
      </c>
    </row>
    <row r="6" spans="1:4" ht="13.5" thickBot="1">
      <c r="A6" s="274" t="s">
        <v>589</v>
      </c>
      <c r="B6" s="659" t="s">
        <v>575</v>
      </c>
      <c r="C6" s="660"/>
      <c r="D6" s="45"/>
    </row>
    <row r="7" spans="1:4" ht="12.75">
      <c r="A7" s="275">
        <v>1</v>
      </c>
      <c r="B7" s="338">
        <v>2</v>
      </c>
      <c r="C7" s="195"/>
      <c r="D7" s="45"/>
    </row>
    <row r="8" spans="1:3" ht="66.75" customHeight="1" thickBot="1">
      <c r="A8" s="276" t="s">
        <v>591</v>
      </c>
      <c r="B8" s="657">
        <v>16000</v>
      </c>
      <c r="C8" s="658"/>
    </row>
    <row r="9" spans="1:3" ht="22.5" customHeight="1" thickBot="1">
      <c r="A9" s="271" t="s">
        <v>590</v>
      </c>
      <c r="B9" s="656">
        <f>SUM(B8:B8)</f>
        <v>16000</v>
      </c>
      <c r="C9" s="576"/>
    </row>
    <row r="11" ht="12.75">
      <c r="B11" t="s">
        <v>635</v>
      </c>
    </row>
  </sheetData>
  <mergeCells count="5">
    <mergeCell ref="B1:C1"/>
    <mergeCell ref="B9:C9"/>
    <mergeCell ref="B8:C8"/>
    <mergeCell ref="B6:C6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3" sqref="C3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623" t="s">
        <v>48</v>
      </c>
    </row>
    <row r="2" ht="57.75" customHeight="1">
      <c r="C2" s="623"/>
    </row>
    <row r="3" spans="1:2" ht="39.75" customHeight="1">
      <c r="A3" s="662" t="s">
        <v>498</v>
      </c>
      <c r="B3" s="662"/>
    </row>
    <row r="4" spans="1:3" ht="15.75">
      <c r="A4" s="229"/>
      <c r="B4" s="229"/>
      <c r="C4" s="1"/>
    </row>
    <row r="5" ht="13.5" thickBot="1">
      <c r="C5" s="46"/>
    </row>
    <row r="6" spans="1:3" ht="13.5" thickBot="1">
      <c r="A6" s="95" t="s">
        <v>205</v>
      </c>
      <c r="B6" s="230" t="s">
        <v>464</v>
      </c>
      <c r="C6" s="246" t="s">
        <v>676</v>
      </c>
    </row>
    <row r="7" spans="1:3" ht="13.5" thickBot="1">
      <c r="A7" s="95" t="s">
        <v>209</v>
      </c>
      <c r="B7" s="231" t="s">
        <v>465</v>
      </c>
      <c r="C7" s="247">
        <f>C8+C9-C10</f>
        <v>40852</v>
      </c>
    </row>
    <row r="8" spans="1:3" ht="12.75">
      <c r="A8" s="232" t="s">
        <v>217</v>
      </c>
      <c r="B8" s="233" t="s">
        <v>466</v>
      </c>
      <c r="C8" s="44">
        <v>40852</v>
      </c>
    </row>
    <row r="9" spans="1:3" ht="12.75">
      <c r="A9" s="128" t="s">
        <v>218</v>
      </c>
      <c r="B9" s="234" t="s">
        <v>467</v>
      </c>
      <c r="C9" s="11">
        <v>0</v>
      </c>
    </row>
    <row r="10" spans="1:3" ht="12.75">
      <c r="A10" s="128" t="s">
        <v>220</v>
      </c>
      <c r="B10" s="234" t="s">
        <v>468</v>
      </c>
      <c r="C10" s="11">
        <v>0</v>
      </c>
    </row>
    <row r="11" spans="1:3" ht="13.5" thickBot="1">
      <c r="A11" s="132" t="s">
        <v>222</v>
      </c>
      <c r="B11" s="235" t="s">
        <v>469</v>
      </c>
      <c r="C11" s="107">
        <v>0</v>
      </c>
    </row>
    <row r="12" spans="1:3" ht="13.5" thickBot="1">
      <c r="A12" s="95" t="s">
        <v>211</v>
      </c>
      <c r="B12" s="231" t="s">
        <v>470</v>
      </c>
      <c r="C12" s="247">
        <f>C13+C14</f>
        <v>65000</v>
      </c>
    </row>
    <row r="13" spans="1:3" ht="13.5" thickBot="1">
      <c r="A13" s="248" t="s">
        <v>217</v>
      </c>
      <c r="B13" s="45" t="s">
        <v>494</v>
      </c>
      <c r="C13" s="42">
        <v>65000</v>
      </c>
    </row>
    <row r="14" spans="1:3" ht="27" customHeight="1" thickBot="1">
      <c r="A14" s="347" t="s">
        <v>218</v>
      </c>
      <c r="B14" s="348" t="s">
        <v>495</v>
      </c>
      <c r="C14" s="349">
        <v>0</v>
      </c>
    </row>
    <row r="15" spans="1:3" ht="13.5" thickBot="1">
      <c r="A15" s="95" t="s">
        <v>215</v>
      </c>
      <c r="B15" s="231" t="s">
        <v>103</v>
      </c>
      <c r="C15" s="110">
        <f>C16+C23</f>
        <v>95200</v>
      </c>
    </row>
    <row r="16" spans="1:3" ht="12.75">
      <c r="A16" s="236" t="s">
        <v>217</v>
      </c>
      <c r="B16" s="138" t="s">
        <v>471</v>
      </c>
      <c r="C16" s="59">
        <f>C17+C18+C19+C22+C21+C20</f>
        <v>70200</v>
      </c>
    </row>
    <row r="17" spans="1:3" ht="24.75" customHeight="1">
      <c r="A17" s="128"/>
      <c r="B17" s="129" t="s">
        <v>499</v>
      </c>
      <c r="C17" s="11">
        <v>8000</v>
      </c>
    </row>
    <row r="18" spans="1:3" ht="24.75" customHeight="1">
      <c r="A18" s="128"/>
      <c r="B18" s="129" t="s">
        <v>390</v>
      </c>
      <c r="C18" s="11">
        <v>10000</v>
      </c>
    </row>
    <row r="19" spans="1:3" ht="15" customHeight="1">
      <c r="A19" s="128"/>
      <c r="B19" s="129" t="s">
        <v>391</v>
      </c>
      <c r="C19" s="11">
        <v>10000</v>
      </c>
    </row>
    <row r="20" spans="1:3" ht="36" customHeight="1">
      <c r="A20" s="128"/>
      <c r="B20" s="129" t="s">
        <v>442</v>
      </c>
      <c r="C20" s="11">
        <v>3000</v>
      </c>
    </row>
    <row r="21" spans="1:3" ht="16.5" customHeight="1">
      <c r="A21" s="128"/>
      <c r="B21" s="129" t="s">
        <v>501</v>
      </c>
      <c r="C21" s="11">
        <v>9800</v>
      </c>
    </row>
    <row r="22" spans="1:3" ht="17.25" customHeight="1">
      <c r="A22" s="128"/>
      <c r="B22" s="129" t="s">
        <v>572</v>
      </c>
      <c r="C22" s="11">
        <v>29400</v>
      </c>
    </row>
    <row r="23" spans="1:3" ht="12.75">
      <c r="A23" s="141" t="s">
        <v>218</v>
      </c>
      <c r="B23" s="249" t="s">
        <v>500</v>
      </c>
      <c r="C23" s="10">
        <f>C26+C24+C25</f>
        <v>25000</v>
      </c>
    </row>
    <row r="24" spans="1:3" ht="12.75">
      <c r="A24" s="250"/>
      <c r="B24" s="251" t="s">
        <v>592</v>
      </c>
      <c r="C24" s="175">
        <v>5000</v>
      </c>
    </row>
    <row r="25" spans="1:3" ht="12.75">
      <c r="A25" s="250"/>
      <c r="B25" s="251" t="s">
        <v>496</v>
      </c>
      <c r="C25" s="175">
        <v>10000</v>
      </c>
    </row>
    <row r="26" spans="1:3" ht="29.25" customHeight="1" thickBot="1">
      <c r="A26" s="126"/>
      <c r="B26" s="129" t="s">
        <v>441</v>
      </c>
      <c r="C26" s="107">
        <v>10000</v>
      </c>
    </row>
    <row r="27" spans="1:3" ht="13.5" thickBot="1">
      <c r="A27" s="95" t="s">
        <v>405</v>
      </c>
      <c r="B27" s="231" t="s">
        <v>472</v>
      </c>
      <c r="C27" s="247">
        <f>C7+C12-C15</f>
        <v>10652</v>
      </c>
    </row>
    <row r="28" spans="1:3" ht="12.75">
      <c r="A28" s="126" t="s">
        <v>217</v>
      </c>
      <c r="B28" s="237" t="s">
        <v>466</v>
      </c>
      <c r="C28" s="252">
        <f>C27</f>
        <v>10652</v>
      </c>
    </row>
    <row r="29" spans="1:3" ht="12.75">
      <c r="A29" s="128" t="s">
        <v>218</v>
      </c>
      <c r="B29" s="234" t="s">
        <v>467</v>
      </c>
      <c r="C29" s="277">
        <v>0</v>
      </c>
    </row>
    <row r="30" spans="1:3" ht="13.5" thickBot="1">
      <c r="A30" s="49" t="s">
        <v>220</v>
      </c>
      <c r="B30" s="238" t="s">
        <v>468</v>
      </c>
      <c r="C30" s="278">
        <v>0</v>
      </c>
    </row>
    <row r="32" ht="12.75">
      <c r="B32" s="139" t="s">
        <v>788</v>
      </c>
    </row>
  </sheetData>
  <mergeCells count="2">
    <mergeCell ref="C1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U26"/>
  <sheetViews>
    <sheetView tabSelected="1" workbookViewId="0" topLeftCell="C13">
      <selection activeCell="B2" sqref="B2:K2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" width="11.625" style="0" customWidth="1"/>
    <col min="4" max="4" width="10.75390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875" style="0" customWidth="1"/>
    <col min="9" max="11" width="11.25390625" style="0" customWidth="1"/>
    <col min="12" max="12" width="10.625" style="0" customWidth="1"/>
  </cols>
  <sheetData>
    <row r="1" spans="5:12" ht="39" customHeight="1">
      <c r="E1" s="665"/>
      <c r="F1" s="665"/>
      <c r="G1" s="664"/>
      <c r="H1" s="664"/>
      <c r="I1" s="664"/>
      <c r="J1" s="664"/>
      <c r="K1" s="549" t="s">
        <v>13</v>
      </c>
      <c r="L1" s="549"/>
    </row>
    <row r="2" spans="2:11" ht="24" customHeight="1">
      <c r="B2" s="666" t="s">
        <v>143</v>
      </c>
      <c r="C2" s="666"/>
      <c r="D2" s="666"/>
      <c r="E2" s="666"/>
      <c r="F2" s="666"/>
      <c r="G2" s="666"/>
      <c r="H2" s="666"/>
      <c r="I2" s="666"/>
      <c r="J2" s="666"/>
      <c r="K2" s="666"/>
    </row>
    <row r="3" spans="1:125" s="19" customFormat="1" ht="18.75" customHeight="1">
      <c r="A3" s="19" t="s">
        <v>144</v>
      </c>
      <c r="B3" s="19" t="s">
        <v>464</v>
      </c>
      <c r="C3" s="19" t="s">
        <v>677</v>
      </c>
      <c r="D3" s="19">
        <v>2005</v>
      </c>
      <c r="E3" s="19">
        <v>2006</v>
      </c>
      <c r="F3" s="19">
        <v>2007</v>
      </c>
      <c r="G3" s="19">
        <v>2008</v>
      </c>
      <c r="H3" s="19">
        <v>2009</v>
      </c>
      <c r="I3" s="19">
        <v>2010</v>
      </c>
      <c r="J3" s="19">
        <v>2011</v>
      </c>
      <c r="K3" s="19">
        <v>2012</v>
      </c>
      <c r="L3" s="19">
        <v>2013</v>
      </c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</row>
    <row r="4" spans="1:12" ht="17.25" customHeight="1">
      <c r="A4" s="308" t="s">
        <v>209</v>
      </c>
      <c r="B4" s="294" t="s">
        <v>256</v>
      </c>
      <c r="C4" s="409">
        <f aca="true" t="shared" si="0" ref="C4:L4">C5+C10+C11</f>
        <v>20073000</v>
      </c>
      <c r="D4" s="409">
        <f t="shared" si="0"/>
        <v>20115000</v>
      </c>
      <c r="E4" s="409">
        <f t="shared" si="0"/>
        <v>20570000</v>
      </c>
      <c r="F4" s="409">
        <f t="shared" si="0"/>
        <v>20760000</v>
      </c>
      <c r="G4" s="409">
        <f t="shared" si="0"/>
        <v>20965000</v>
      </c>
      <c r="H4" s="409">
        <f t="shared" si="0"/>
        <v>20875000</v>
      </c>
      <c r="I4" s="409">
        <f t="shared" si="0"/>
        <v>20965000</v>
      </c>
      <c r="J4" s="409">
        <f t="shared" si="0"/>
        <v>20930000</v>
      </c>
      <c r="K4" s="409">
        <f t="shared" si="0"/>
        <v>20760000</v>
      </c>
      <c r="L4" s="409">
        <f t="shared" si="0"/>
        <v>20800000</v>
      </c>
    </row>
    <row r="5" spans="1:12" ht="18" customHeight="1">
      <c r="A5" s="308" t="s">
        <v>145</v>
      </c>
      <c r="B5" s="298" t="s">
        <v>146</v>
      </c>
      <c r="C5" s="409">
        <f aca="true" t="shared" si="1" ref="C5:L5">C6+C7+C8+C9</f>
        <v>2020000</v>
      </c>
      <c r="D5" s="409">
        <f t="shared" si="1"/>
        <v>1910000</v>
      </c>
      <c r="E5" s="409">
        <f t="shared" si="1"/>
        <v>1970000</v>
      </c>
      <c r="F5" s="409">
        <f t="shared" si="1"/>
        <v>2010000</v>
      </c>
      <c r="G5" s="409">
        <f t="shared" si="1"/>
        <v>2015000</v>
      </c>
      <c r="H5" s="409">
        <f t="shared" si="1"/>
        <v>2025000</v>
      </c>
      <c r="I5" s="409">
        <f t="shared" si="1"/>
        <v>2035000</v>
      </c>
      <c r="J5" s="409">
        <f t="shared" si="1"/>
        <v>1960000</v>
      </c>
      <c r="K5" s="409">
        <f t="shared" si="1"/>
        <v>1970000</v>
      </c>
      <c r="L5" s="409">
        <f t="shared" si="1"/>
        <v>2010000</v>
      </c>
    </row>
    <row r="6" spans="1:12" ht="15" customHeight="1">
      <c r="A6" s="299" t="s">
        <v>217</v>
      </c>
      <c r="B6" s="298" t="s">
        <v>147</v>
      </c>
      <c r="C6" s="410">
        <v>410000</v>
      </c>
      <c r="D6" s="410">
        <v>200000</v>
      </c>
      <c r="E6" s="410">
        <v>200000</v>
      </c>
      <c r="F6" s="410">
        <v>200000</v>
      </c>
      <c r="G6" s="410">
        <v>200000</v>
      </c>
      <c r="H6" s="410">
        <v>200000</v>
      </c>
      <c r="I6" s="410">
        <v>200000</v>
      </c>
      <c r="J6" s="410">
        <v>100000</v>
      </c>
      <c r="K6" s="410">
        <v>100000</v>
      </c>
      <c r="L6" s="410">
        <v>100000</v>
      </c>
    </row>
    <row r="7" spans="1:12" ht="24.75" customHeight="1">
      <c r="A7" s="299" t="s">
        <v>218</v>
      </c>
      <c r="B7" s="298" t="s">
        <v>148</v>
      </c>
      <c r="C7" s="410">
        <v>160000</v>
      </c>
      <c r="D7" s="410">
        <v>190000</v>
      </c>
      <c r="E7" s="410">
        <v>200000</v>
      </c>
      <c r="F7" s="410">
        <v>210000</v>
      </c>
      <c r="G7" s="410">
        <v>215000</v>
      </c>
      <c r="H7" s="410">
        <v>220000</v>
      </c>
      <c r="I7" s="410">
        <v>225000</v>
      </c>
      <c r="J7" s="410">
        <v>250000</v>
      </c>
      <c r="K7" s="410">
        <v>300000</v>
      </c>
      <c r="L7" s="410">
        <v>340000</v>
      </c>
    </row>
    <row r="8" spans="1:12" ht="16.5" customHeight="1">
      <c r="A8" s="299" t="s">
        <v>220</v>
      </c>
      <c r="B8" s="298" t="s">
        <v>149</v>
      </c>
      <c r="C8" s="410">
        <v>850000</v>
      </c>
      <c r="D8" s="410">
        <v>900000</v>
      </c>
      <c r="E8" s="410">
        <v>920000</v>
      </c>
      <c r="F8" s="410">
        <v>930000</v>
      </c>
      <c r="G8" s="410">
        <v>930000</v>
      </c>
      <c r="H8" s="410">
        <v>935000</v>
      </c>
      <c r="I8" s="410">
        <v>940000</v>
      </c>
      <c r="J8" s="410">
        <v>940000</v>
      </c>
      <c r="K8" s="410">
        <v>920000</v>
      </c>
      <c r="L8" s="410">
        <v>920000</v>
      </c>
    </row>
    <row r="9" spans="1:12" ht="15.75" customHeight="1">
      <c r="A9" s="299" t="s">
        <v>222</v>
      </c>
      <c r="B9" s="298" t="s">
        <v>150</v>
      </c>
      <c r="C9" s="410">
        <v>600000</v>
      </c>
      <c r="D9" s="410">
        <v>620000</v>
      </c>
      <c r="E9" s="410">
        <v>650000</v>
      </c>
      <c r="F9" s="410">
        <v>670000</v>
      </c>
      <c r="G9" s="410">
        <v>670000</v>
      </c>
      <c r="H9" s="410">
        <v>670000</v>
      </c>
      <c r="I9" s="410">
        <v>670000</v>
      </c>
      <c r="J9" s="410">
        <v>670000</v>
      </c>
      <c r="K9" s="410">
        <v>650000</v>
      </c>
      <c r="L9" s="410">
        <v>650000</v>
      </c>
    </row>
    <row r="10" spans="1:12" ht="17.25" customHeight="1">
      <c r="A10" s="308" t="s">
        <v>151</v>
      </c>
      <c r="B10" s="294" t="s">
        <v>152</v>
      </c>
      <c r="C10" s="409">
        <v>14500000</v>
      </c>
      <c r="D10" s="409">
        <v>14800000</v>
      </c>
      <c r="E10" s="409">
        <v>15000000</v>
      </c>
      <c r="F10" s="409">
        <v>15000000</v>
      </c>
      <c r="G10" s="409">
        <v>15000000</v>
      </c>
      <c r="H10" s="409">
        <v>14900000</v>
      </c>
      <c r="I10" s="409">
        <v>14850000</v>
      </c>
      <c r="J10" s="409">
        <v>14800000</v>
      </c>
      <c r="K10" s="409">
        <v>14600000</v>
      </c>
      <c r="L10" s="409">
        <v>14600000</v>
      </c>
    </row>
    <row r="11" spans="1:12" ht="15.75" customHeight="1">
      <c r="A11" s="308" t="s">
        <v>153</v>
      </c>
      <c r="B11" s="294" t="s">
        <v>154</v>
      </c>
      <c r="C11" s="409">
        <v>3553000</v>
      </c>
      <c r="D11" s="409">
        <v>3405000</v>
      </c>
      <c r="E11" s="409">
        <v>3600000</v>
      </c>
      <c r="F11" s="409">
        <v>3750000</v>
      </c>
      <c r="G11" s="409">
        <v>3950000</v>
      </c>
      <c r="H11" s="409">
        <v>3950000</v>
      </c>
      <c r="I11" s="409">
        <v>4080000</v>
      </c>
      <c r="J11" s="409">
        <v>4170000</v>
      </c>
      <c r="K11" s="409">
        <v>4190000</v>
      </c>
      <c r="L11" s="409">
        <v>4190000</v>
      </c>
    </row>
    <row r="12" spans="1:12" ht="16.5" customHeight="1">
      <c r="A12" s="308" t="s">
        <v>211</v>
      </c>
      <c r="B12" s="294" t="s">
        <v>155</v>
      </c>
      <c r="C12" s="409">
        <f aca="true" t="shared" si="2" ref="C12:I12">C13+C14</f>
        <v>19149379</v>
      </c>
      <c r="D12" s="409">
        <f t="shared" si="2"/>
        <v>19025000</v>
      </c>
      <c r="E12" s="409">
        <f t="shared" si="2"/>
        <v>19480000</v>
      </c>
      <c r="F12" s="409">
        <f t="shared" si="2"/>
        <v>19670000</v>
      </c>
      <c r="G12" s="409">
        <f t="shared" si="2"/>
        <v>19861000</v>
      </c>
      <c r="H12" s="409">
        <f t="shared" si="2"/>
        <v>19735000</v>
      </c>
      <c r="I12" s="409">
        <f t="shared" si="2"/>
        <v>20015000</v>
      </c>
      <c r="J12" s="409">
        <f>J13+J14</f>
        <v>19980000</v>
      </c>
      <c r="K12" s="409">
        <f>K13+K14</f>
        <v>19810000</v>
      </c>
      <c r="L12" s="409">
        <f>L13+L14</f>
        <v>19810000</v>
      </c>
    </row>
    <row r="13" spans="1:12" ht="16.5" customHeight="1">
      <c r="A13" s="299" t="s">
        <v>145</v>
      </c>
      <c r="B13" s="298" t="s">
        <v>471</v>
      </c>
      <c r="C13" s="410">
        <v>17790000</v>
      </c>
      <c r="D13" s="410">
        <v>18025000</v>
      </c>
      <c r="E13" s="410">
        <v>19480000</v>
      </c>
      <c r="F13" s="410">
        <v>19670000</v>
      </c>
      <c r="G13" s="410">
        <v>19861000</v>
      </c>
      <c r="H13" s="410">
        <v>19735000</v>
      </c>
      <c r="I13" s="410">
        <v>20015000</v>
      </c>
      <c r="J13" s="410">
        <v>19980000</v>
      </c>
      <c r="K13" s="410">
        <v>19810000</v>
      </c>
      <c r="L13" s="300">
        <v>19810000</v>
      </c>
    </row>
    <row r="14" spans="1:12" ht="16.5" customHeight="1">
      <c r="A14" s="299" t="s">
        <v>151</v>
      </c>
      <c r="B14" s="298" t="s">
        <v>573</v>
      </c>
      <c r="C14" s="410">
        <v>1359379</v>
      </c>
      <c r="D14" s="410">
        <v>1000000</v>
      </c>
      <c r="E14" s="410">
        <v>0</v>
      </c>
      <c r="F14" s="410">
        <v>0</v>
      </c>
      <c r="G14" s="410">
        <v>0</v>
      </c>
      <c r="H14" s="410">
        <v>0</v>
      </c>
      <c r="I14" s="410">
        <v>0</v>
      </c>
      <c r="J14" s="410">
        <v>0</v>
      </c>
      <c r="K14" s="410">
        <v>0</v>
      </c>
      <c r="L14" s="300">
        <v>0</v>
      </c>
    </row>
    <row r="15" spans="1:12" ht="24" customHeight="1">
      <c r="A15" s="308" t="s">
        <v>215</v>
      </c>
      <c r="B15" s="294" t="s">
        <v>156</v>
      </c>
      <c r="C15" s="409">
        <f aca="true" t="shared" si="3" ref="C15:L15">C16+C19</f>
        <v>1441580</v>
      </c>
      <c r="D15" s="409">
        <f t="shared" si="3"/>
        <v>1541490</v>
      </c>
      <c r="E15" s="409">
        <f t="shared" si="3"/>
        <v>1492990</v>
      </c>
      <c r="F15" s="409">
        <f t="shared" si="3"/>
        <v>1462000</v>
      </c>
      <c r="G15" s="409">
        <f t="shared" si="3"/>
        <v>1429725</v>
      </c>
      <c r="H15" s="409">
        <f t="shared" si="3"/>
        <v>1368000</v>
      </c>
      <c r="I15" s="409">
        <f t="shared" si="3"/>
        <v>1120000</v>
      </c>
      <c r="J15" s="409">
        <f t="shared" si="3"/>
        <v>1064000</v>
      </c>
      <c r="K15" s="409">
        <f t="shared" si="3"/>
        <v>1007000</v>
      </c>
      <c r="L15" s="409">
        <f t="shared" si="3"/>
        <v>978000</v>
      </c>
    </row>
    <row r="16" spans="1:12" ht="25.5" customHeight="1">
      <c r="A16" s="308" t="s">
        <v>145</v>
      </c>
      <c r="B16" s="294" t="s">
        <v>157</v>
      </c>
      <c r="C16" s="409">
        <f>C17+C18</f>
        <v>1416000</v>
      </c>
      <c r="D16" s="409">
        <f aca="true" t="shared" si="4" ref="D16:L16">D17+D18</f>
        <v>1516000</v>
      </c>
      <c r="E16" s="409">
        <f t="shared" si="4"/>
        <v>1466000</v>
      </c>
      <c r="F16" s="409">
        <f t="shared" si="4"/>
        <v>1462000</v>
      </c>
      <c r="G16" s="409">
        <f t="shared" si="4"/>
        <v>1429725</v>
      </c>
      <c r="H16" s="409">
        <f t="shared" si="4"/>
        <v>1368000</v>
      </c>
      <c r="I16" s="409">
        <f t="shared" si="4"/>
        <v>1120000</v>
      </c>
      <c r="J16" s="409">
        <f t="shared" si="4"/>
        <v>1064000</v>
      </c>
      <c r="K16" s="409">
        <f t="shared" si="4"/>
        <v>1007000</v>
      </c>
      <c r="L16" s="409">
        <f t="shared" si="4"/>
        <v>978000</v>
      </c>
    </row>
    <row r="17" spans="1:12" ht="17.25" customHeight="1">
      <c r="A17" s="299" t="s">
        <v>217</v>
      </c>
      <c r="B17" s="298" t="s">
        <v>158</v>
      </c>
      <c r="C17" s="410">
        <v>846000</v>
      </c>
      <c r="D17" s="410">
        <v>1016000</v>
      </c>
      <c r="E17" s="410">
        <v>1036000</v>
      </c>
      <c r="F17" s="410">
        <v>1086000</v>
      </c>
      <c r="G17" s="410">
        <v>1103725</v>
      </c>
      <c r="H17" s="410">
        <v>1140000</v>
      </c>
      <c r="I17" s="410">
        <v>950000</v>
      </c>
      <c r="J17" s="410">
        <v>950000</v>
      </c>
      <c r="K17" s="410">
        <v>950000</v>
      </c>
      <c r="L17" s="300">
        <v>950000</v>
      </c>
    </row>
    <row r="18" spans="1:12" ht="16.5" customHeight="1">
      <c r="A18" s="299" t="s">
        <v>218</v>
      </c>
      <c r="B18" s="298" t="s">
        <v>159</v>
      </c>
      <c r="C18" s="410">
        <v>570000</v>
      </c>
      <c r="D18" s="410">
        <v>500000</v>
      </c>
      <c r="E18" s="410">
        <v>430000</v>
      </c>
      <c r="F18" s="410">
        <v>376000</v>
      </c>
      <c r="G18" s="410">
        <v>326000</v>
      </c>
      <c r="H18" s="410">
        <v>228000</v>
      </c>
      <c r="I18" s="410">
        <v>170000</v>
      </c>
      <c r="J18" s="410">
        <v>114000</v>
      </c>
      <c r="K18" s="410">
        <v>57000</v>
      </c>
      <c r="L18" s="300">
        <v>28000</v>
      </c>
    </row>
    <row r="19" spans="1:12" ht="35.25" customHeight="1">
      <c r="A19" s="308" t="s">
        <v>151</v>
      </c>
      <c r="B19" s="294" t="s">
        <v>160</v>
      </c>
      <c r="C19" s="409">
        <f aca="true" t="shared" si="5" ref="C19:L19">C20+C21</f>
        <v>25580</v>
      </c>
      <c r="D19" s="409">
        <f t="shared" si="5"/>
        <v>25490</v>
      </c>
      <c r="E19" s="409">
        <f t="shared" si="5"/>
        <v>26990</v>
      </c>
      <c r="F19" s="409">
        <f t="shared" si="5"/>
        <v>0</v>
      </c>
      <c r="G19" s="409">
        <f t="shared" si="5"/>
        <v>0</v>
      </c>
      <c r="H19" s="409">
        <f t="shared" si="5"/>
        <v>0</v>
      </c>
      <c r="I19" s="409">
        <f t="shared" si="5"/>
        <v>0</v>
      </c>
      <c r="J19" s="409">
        <f t="shared" si="5"/>
        <v>0</v>
      </c>
      <c r="K19" s="409">
        <f t="shared" si="5"/>
        <v>0</v>
      </c>
      <c r="L19" s="409">
        <f t="shared" si="5"/>
        <v>0</v>
      </c>
    </row>
    <row r="20" spans="1:12" ht="22.5" customHeight="1">
      <c r="A20" s="308"/>
      <c r="B20" s="298" t="s">
        <v>158</v>
      </c>
      <c r="C20" s="410">
        <v>24000</v>
      </c>
      <c r="D20" s="410">
        <v>24000</v>
      </c>
      <c r="E20" s="410">
        <v>26000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</row>
    <row r="21" spans="1:12" ht="20.25" customHeight="1">
      <c r="A21" s="308"/>
      <c r="B21" s="298" t="s">
        <v>159</v>
      </c>
      <c r="C21" s="410">
        <v>1580</v>
      </c>
      <c r="D21" s="410">
        <v>1490</v>
      </c>
      <c r="E21" s="410">
        <v>990</v>
      </c>
      <c r="F21" s="410">
        <v>0</v>
      </c>
      <c r="G21" s="410">
        <v>0</v>
      </c>
      <c r="H21" s="410">
        <v>0</v>
      </c>
      <c r="I21" s="410">
        <v>0</v>
      </c>
      <c r="J21" s="410">
        <v>0</v>
      </c>
      <c r="K21" s="410">
        <v>0</v>
      </c>
      <c r="L21" s="410">
        <v>0</v>
      </c>
    </row>
    <row r="22" spans="1:12" ht="21" customHeight="1" hidden="1">
      <c r="A22" s="299" t="s">
        <v>153</v>
      </c>
      <c r="B22" s="298" t="s">
        <v>161</v>
      </c>
      <c r="C22" s="410">
        <v>0</v>
      </c>
      <c r="D22" s="410">
        <v>0</v>
      </c>
      <c r="E22" s="410">
        <v>0</v>
      </c>
      <c r="F22" s="410">
        <v>0</v>
      </c>
      <c r="G22" s="410">
        <v>0</v>
      </c>
      <c r="H22" s="410">
        <v>0</v>
      </c>
      <c r="I22" s="410">
        <v>0</v>
      </c>
      <c r="J22" s="410">
        <v>0</v>
      </c>
      <c r="K22" s="410">
        <v>0</v>
      </c>
      <c r="L22" s="300">
        <v>0</v>
      </c>
    </row>
    <row r="23" spans="1:12" ht="18.75" customHeight="1">
      <c r="A23" s="308" t="s">
        <v>236</v>
      </c>
      <c r="B23" s="411" t="s">
        <v>162</v>
      </c>
      <c r="C23" s="409">
        <f aca="true" t="shared" si="6" ref="C23:L23">C4-C12</f>
        <v>923621</v>
      </c>
      <c r="D23" s="409">
        <f t="shared" si="6"/>
        <v>1090000</v>
      </c>
      <c r="E23" s="409">
        <f t="shared" si="6"/>
        <v>1090000</v>
      </c>
      <c r="F23" s="409">
        <f t="shared" si="6"/>
        <v>1090000</v>
      </c>
      <c r="G23" s="409">
        <f t="shared" si="6"/>
        <v>1104000</v>
      </c>
      <c r="H23" s="409">
        <f t="shared" si="6"/>
        <v>1140000</v>
      </c>
      <c r="I23" s="409">
        <f t="shared" si="6"/>
        <v>950000</v>
      </c>
      <c r="J23" s="409">
        <f t="shared" si="6"/>
        <v>950000</v>
      </c>
      <c r="K23" s="409">
        <f t="shared" si="6"/>
        <v>950000</v>
      </c>
      <c r="L23" s="409">
        <f t="shared" si="6"/>
        <v>990000</v>
      </c>
    </row>
    <row r="24" spans="1:12" s="40" customFormat="1" ht="28.5" customHeight="1">
      <c r="A24" s="308" t="s">
        <v>243</v>
      </c>
      <c r="B24" s="294" t="s">
        <v>163</v>
      </c>
      <c r="C24" s="409">
        <v>9231725</v>
      </c>
      <c r="D24" s="409">
        <v>8191725</v>
      </c>
      <c r="E24" s="409">
        <v>7129725</v>
      </c>
      <c r="F24" s="409">
        <v>6043725</v>
      </c>
      <c r="G24" s="409">
        <v>4940000</v>
      </c>
      <c r="H24" s="409">
        <v>3800000</v>
      </c>
      <c r="I24" s="409">
        <v>2850000</v>
      </c>
      <c r="J24" s="409">
        <v>1900000</v>
      </c>
      <c r="K24" s="409">
        <v>950000</v>
      </c>
      <c r="L24" s="296">
        <v>0</v>
      </c>
    </row>
    <row r="25" spans="1:8" ht="22.5" customHeight="1">
      <c r="A25" s="663"/>
      <c r="B25" s="663"/>
      <c r="C25" s="663"/>
      <c r="D25" s="663"/>
      <c r="E25" s="663"/>
      <c r="F25" s="663"/>
      <c r="G25" s="663"/>
      <c r="H25" s="663"/>
    </row>
    <row r="26" spans="1:8" ht="14.25" customHeight="1">
      <c r="A26" s="663"/>
      <c r="B26" s="663"/>
      <c r="C26" s="663"/>
      <c r="D26" s="663"/>
      <c r="E26" s="663"/>
      <c r="F26" s="663"/>
      <c r="G26" s="663"/>
      <c r="H26" s="663"/>
    </row>
    <row r="27" ht="15" customHeight="1"/>
    <row r="28" ht="18" customHeight="1"/>
  </sheetData>
  <mergeCells count="6">
    <mergeCell ref="A26:H26"/>
    <mergeCell ref="G1:J1"/>
    <mergeCell ref="E1:F1"/>
    <mergeCell ref="B2:K2"/>
    <mergeCell ref="A25:H25"/>
    <mergeCell ref="K1:L1"/>
  </mergeCells>
  <printOptions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" sqref="A2:C2"/>
    </sheetView>
  </sheetViews>
  <sheetFormatPr defaultColWidth="9.00390625" defaultRowHeight="12.75"/>
  <cols>
    <col min="1" max="1" width="50.75390625" style="0" customWidth="1"/>
    <col min="2" max="2" width="23.75390625" style="0" customWidth="1"/>
    <col min="3" max="3" width="18.25390625" style="0" customWidth="1"/>
  </cols>
  <sheetData>
    <row r="1" ht="54" customHeight="1">
      <c r="C1" s="508" t="s">
        <v>1</v>
      </c>
    </row>
    <row r="2" spans="1:3" ht="32.25" customHeight="1">
      <c r="A2" s="556" t="s">
        <v>654</v>
      </c>
      <c r="B2" s="556"/>
      <c r="C2" s="556"/>
    </row>
    <row r="3" spans="1:3" ht="18.75" customHeight="1">
      <c r="A3" s="543" t="s">
        <v>691</v>
      </c>
      <c r="B3" s="557" t="s">
        <v>653</v>
      </c>
      <c r="C3" s="557" t="s">
        <v>225</v>
      </c>
    </row>
    <row r="4" spans="1:3" ht="25.5" customHeight="1">
      <c r="A4" s="543"/>
      <c r="B4" s="558"/>
      <c r="C4" s="558"/>
    </row>
    <row r="5" spans="1:3" ht="14.25" customHeight="1">
      <c r="A5" s="6">
        <v>1</v>
      </c>
      <c r="B5" s="52">
        <v>3</v>
      </c>
      <c r="C5" s="6">
        <v>6</v>
      </c>
    </row>
    <row r="6" spans="1:3" ht="32.25" customHeight="1">
      <c r="A6" s="7" t="s">
        <v>115</v>
      </c>
      <c r="B6" s="8">
        <f>'Z 1'!S55+'Z 1'!S56</f>
        <v>1680881</v>
      </c>
      <c r="C6" s="9">
        <f>B6/B21</f>
        <v>0.05987849611332193</v>
      </c>
    </row>
    <row r="7" spans="1:3" ht="22.5" customHeight="1">
      <c r="A7" s="10" t="s">
        <v>116</v>
      </c>
      <c r="B7" s="8">
        <f>B8+B9</f>
        <v>1269835</v>
      </c>
      <c r="C7" s="9">
        <f>B7/B21</f>
        <v>0.04523568897028413</v>
      </c>
    </row>
    <row r="8" spans="1:3" ht="19.5" customHeight="1">
      <c r="A8" s="11" t="s">
        <v>117</v>
      </c>
      <c r="B8" s="8">
        <f>'Z 1'!S35</f>
        <v>1267868</v>
      </c>
      <c r="C8" s="9">
        <f>B8/B21</f>
        <v>0.04516561797664751</v>
      </c>
    </row>
    <row r="9" spans="1:3" ht="21" customHeight="1">
      <c r="A9" s="11" t="s">
        <v>120</v>
      </c>
      <c r="B9" s="8">
        <f>'Z 1'!S33</f>
        <v>1967</v>
      </c>
      <c r="C9" s="9">
        <f>B9/B21</f>
        <v>7.007099363661332E-05</v>
      </c>
    </row>
    <row r="10" spans="1:3" ht="27.75" customHeight="1">
      <c r="A10" s="7" t="s">
        <v>121</v>
      </c>
      <c r="B10" s="8">
        <f>'Z 1'!S20+'Z 1'!S25+'Z 1'!S26+'Z 1'!S27+'Z 1'!S28+'Z 1'!S52+'Z 1'!S65+'Z 1'!S66+'Z 1'!S67+'Z 1'!S71+'Z 1'!S72+'Z 1'!S73+'Z 1'!S74+'Z 1'!S75+'Z 1'!S76+'Z 1'!S89+'Z 1'!S95+'Z 1'!S96+'Z 1'!S97+'Z 1'!S99+'Z 1'!S100+'Z 1'!S101+'Z 1'!S103+'Z 1'!S105+'Z 1'!S109+'Z 1'!S110+'Z 1'!S112+'Z 1'!S113+'Z 1'!S114+'Z 1'!S118+'Z 1'!S123+'Z 1'!S124+'Z 1'!S131+'Z 1'!S132+'Z 1'!S133+'Z 1'!S136+'Z 1'!S137+'Z 1'!S138+'Z 1'!S142+'Z 1'!S143+'Z 1'!S145+'Z 1'!S146+'Z 1'!S154+'Z 1'!S155+'Z 1'!S125</f>
        <v>563509</v>
      </c>
      <c r="C10" s="9">
        <f>B10/B21</f>
        <v>0.020074039427134895</v>
      </c>
    </row>
    <row r="11" spans="1:3" ht="21.75" customHeight="1">
      <c r="A11" s="10" t="s">
        <v>122</v>
      </c>
      <c r="B11" s="8">
        <f>'Z 1'!S22+'Z 1'!S32+'Z 1'!S34+'Z 1'!S36+'Z 1'!S37+'Z 1'!S40+'Z 1'!S41+'Z 1'!S42+'Z 1'!S44+'Z 1'!S45+'Z 1'!S59+'Z 1'!S92+'Z 1'!S120+'Z 1'!S129</f>
        <v>865541</v>
      </c>
      <c r="C11" s="9">
        <f>B11/B21</f>
        <v>0.030833410220248058</v>
      </c>
    </row>
    <row r="12" spans="1:3" ht="20.25" customHeight="1">
      <c r="A12" s="10" t="s">
        <v>123</v>
      </c>
      <c r="B12" s="12">
        <f>B11+B10+B7+B6</f>
        <v>4379766</v>
      </c>
      <c r="C12" s="13">
        <f>B12/B21</f>
        <v>0.156021634730989</v>
      </c>
    </row>
    <row r="13" spans="1:3" ht="19.5" customHeight="1">
      <c r="A13" s="10" t="s">
        <v>124</v>
      </c>
      <c r="B13" s="12">
        <f>'Z 1'!S394</f>
        <v>15833854</v>
      </c>
      <c r="C13" s="13">
        <f>B13/B21</f>
        <v>0.564053829627384</v>
      </c>
    </row>
    <row r="14" spans="1:3" ht="21.75" customHeight="1">
      <c r="A14" s="10" t="s">
        <v>125</v>
      </c>
      <c r="B14" s="12">
        <f>B16+B17+B18+B20+B19</f>
        <v>7857910</v>
      </c>
      <c r="C14" s="13">
        <f>B14/B21</f>
        <v>0.27992453564162695</v>
      </c>
    </row>
    <row r="15" spans="1:3" ht="21.75" customHeight="1">
      <c r="A15" s="10" t="s">
        <v>134</v>
      </c>
      <c r="B15" s="12">
        <f>B13+B14</f>
        <v>23691764</v>
      </c>
      <c r="C15" s="13">
        <f>B15/B21</f>
        <v>0.8439783652690109</v>
      </c>
    </row>
    <row r="16" spans="1:3" ht="25.5">
      <c r="A16" s="14" t="s">
        <v>226</v>
      </c>
      <c r="B16" s="8">
        <f>'Z 1'!S402</f>
        <v>578000</v>
      </c>
      <c r="C16" s="9">
        <f>B16/B21</f>
        <v>0.02059025639144001</v>
      </c>
    </row>
    <row r="17" spans="1:3" ht="40.5" customHeight="1">
      <c r="A17" s="14" t="s">
        <v>227</v>
      </c>
      <c r="B17" s="8">
        <f>'Z 1'!S403</f>
        <v>2910110</v>
      </c>
      <c r="C17" s="9">
        <f>B17/B21</f>
        <v>0.10366766613718596</v>
      </c>
    </row>
    <row r="18" spans="1:3" ht="37.5" customHeight="1">
      <c r="A18" s="14" t="s">
        <v>228</v>
      </c>
      <c r="B18" s="8">
        <f>'Z 1'!S405</f>
        <v>1353867</v>
      </c>
      <c r="C18" s="9">
        <f>B18/B21</f>
        <v>0.048229184515414726</v>
      </c>
    </row>
    <row r="19" spans="1:3" ht="20.25" customHeight="1">
      <c r="A19" s="14" t="s">
        <v>133</v>
      </c>
      <c r="B19" s="8">
        <f>'Z 1'!S385</f>
        <v>77500</v>
      </c>
      <c r="C19" s="9">
        <f>B19/B21</f>
        <v>0.0027608042739387557</v>
      </c>
    </row>
    <row r="20" spans="1:3" ht="22.5" customHeight="1">
      <c r="A20" s="15" t="s">
        <v>229</v>
      </c>
      <c r="B20" s="8">
        <f>'Z 1'!S156</f>
        <v>2938433</v>
      </c>
      <c r="C20" s="9">
        <f>B20/B21</f>
        <v>0.10467662432364748</v>
      </c>
    </row>
    <row r="21" spans="1:3" ht="30" customHeight="1">
      <c r="A21" s="367" t="s">
        <v>135</v>
      </c>
      <c r="B21" s="12">
        <f>B12+B15</f>
        <v>28071530</v>
      </c>
      <c r="C21" s="13">
        <f>B21/B21</f>
        <v>1</v>
      </c>
    </row>
  </sheetData>
  <mergeCells count="4">
    <mergeCell ref="A3:A4"/>
    <mergeCell ref="A2:C2"/>
    <mergeCell ref="C3:C4"/>
    <mergeCell ref="B3:B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19"/>
  <sheetViews>
    <sheetView zoomScaleSheetLayoutView="75" workbookViewId="0" topLeftCell="A1">
      <selection activeCell="L1" sqref="L1:N1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48.003906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4.125" style="0" customWidth="1"/>
    <col min="12" max="12" width="12.625" style="0" customWidth="1"/>
    <col min="13" max="13" width="13.00390625" style="0" customWidth="1"/>
    <col min="14" max="14" width="11.75390625" style="0" customWidth="1"/>
    <col min="15" max="15" width="11.25390625" style="0" customWidth="1"/>
  </cols>
  <sheetData>
    <row r="1" spans="12:14" ht="17.25" customHeight="1">
      <c r="L1" s="519" t="s">
        <v>2</v>
      </c>
      <c r="M1" s="519"/>
      <c r="N1" s="519"/>
    </row>
    <row r="2" spans="2:19" ht="18.75" customHeight="1" thickBot="1">
      <c r="B2" s="567" t="s">
        <v>668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6"/>
      <c r="P2" s="566"/>
      <c r="Q2" s="566"/>
      <c r="R2" s="566"/>
      <c r="S2" s="566"/>
    </row>
    <row r="3" spans="2:14" ht="19.5" customHeight="1" hidden="1" thickBot="1">
      <c r="B3" s="16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5" ht="14.25" customHeight="1" thickBot="1">
      <c r="A4" s="528" t="s">
        <v>692</v>
      </c>
      <c r="B4" s="526" t="s">
        <v>693</v>
      </c>
      <c r="C4" s="530" t="s">
        <v>694</v>
      </c>
      <c r="D4" s="346"/>
      <c r="E4" s="346"/>
      <c r="F4" s="346"/>
      <c r="G4" s="346"/>
      <c r="H4" s="530" t="s">
        <v>688</v>
      </c>
      <c r="I4" s="512" t="s">
        <v>448</v>
      </c>
      <c r="J4" s="513"/>
      <c r="K4" s="530" t="s">
        <v>231</v>
      </c>
      <c r="L4" s="533" t="s">
        <v>699</v>
      </c>
      <c r="M4" s="534"/>
      <c r="N4" s="535"/>
      <c r="O4" s="516" t="s">
        <v>230</v>
      </c>
    </row>
    <row r="5" spans="1:15" ht="4.5" customHeight="1">
      <c r="A5" s="529"/>
      <c r="B5" s="527"/>
      <c r="C5" s="531"/>
      <c r="D5" s="570" t="s">
        <v>695</v>
      </c>
      <c r="E5" s="568" t="s">
        <v>696</v>
      </c>
      <c r="F5" s="568" t="s">
        <v>697</v>
      </c>
      <c r="G5" s="514" t="s">
        <v>698</v>
      </c>
      <c r="H5" s="531"/>
      <c r="I5" s="564" t="s">
        <v>313</v>
      </c>
      <c r="J5" s="510" t="s">
        <v>314</v>
      </c>
      <c r="K5" s="531"/>
      <c r="L5" s="536"/>
      <c r="M5" s="537"/>
      <c r="N5" s="538"/>
      <c r="O5" s="517"/>
    </row>
    <row r="6" spans="1:15" ht="6" customHeight="1" thickBot="1">
      <c r="A6" s="529"/>
      <c r="B6" s="527"/>
      <c r="C6" s="531"/>
      <c r="D6" s="571"/>
      <c r="E6" s="568"/>
      <c r="F6" s="568"/>
      <c r="G6" s="514"/>
      <c r="H6" s="531"/>
      <c r="I6" s="565"/>
      <c r="J6" s="511"/>
      <c r="K6" s="531"/>
      <c r="L6" s="539"/>
      <c r="M6" s="540"/>
      <c r="N6" s="541"/>
      <c r="O6" s="517"/>
    </row>
    <row r="7" spans="1:15" ht="19.5" customHeight="1" thickBot="1">
      <c r="A7" s="529"/>
      <c r="B7" s="527"/>
      <c r="C7" s="531"/>
      <c r="D7" s="564"/>
      <c r="E7" s="569"/>
      <c r="F7" s="569"/>
      <c r="G7" s="515"/>
      <c r="H7" s="531"/>
      <c r="I7" s="565"/>
      <c r="J7" s="511"/>
      <c r="K7" s="521"/>
      <c r="L7" s="386" t="s">
        <v>700</v>
      </c>
      <c r="M7" s="386" t="s">
        <v>701</v>
      </c>
      <c r="N7" s="386" t="s">
        <v>702</v>
      </c>
      <c r="O7" s="518"/>
    </row>
    <row r="8" spans="1:15" ht="12" customHeight="1" thickBot="1">
      <c r="A8" s="256">
        <v>1</v>
      </c>
      <c r="B8" s="257">
        <v>2</v>
      </c>
      <c r="C8" s="258">
        <v>3</v>
      </c>
      <c r="D8" s="258">
        <v>4</v>
      </c>
      <c r="E8" s="258">
        <v>4</v>
      </c>
      <c r="F8" s="258">
        <v>5</v>
      </c>
      <c r="G8" s="258">
        <v>6</v>
      </c>
      <c r="H8" s="258">
        <v>5</v>
      </c>
      <c r="I8" s="258"/>
      <c r="J8" s="258"/>
      <c r="K8" s="364">
        <v>4</v>
      </c>
      <c r="L8" s="102">
        <v>5</v>
      </c>
      <c r="M8" s="258">
        <v>6</v>
      </c>
      <c r="N8" s="258">
        <v>7</v>
      </c>
      <c r="O8" s="272">
        <v>8</v>
      </c>
    </row>
    <row r="9" spans="1:15" ht="15" customHeight="1">
      <c r="A9" s="57" t="s">
        <v>703</v>
      </c>
      <c r="B9" s="532"/>
      <c r="C9" s="59" t="s">
        <v>708</v>
      </c>
      <c r="D9" s="59">
        <f>D10+D27</f>
        <v>303000</v>
      </c>
      <c r="E9" s="59">
        <f>E10+E27</f>
        <v>373400</v>
      </c>
      <c r="F9" s="59">
        <f>F10+F27</f>
        <v>0</v>
      </c>
      <c r="G9" s="59">
        <f>G10+G27</f>
        <v>0</v>
      </c>
      <c r="H9" s="59">
        <f>H10+H27+H25+H29</f>
        <v>91800</v>
      </c>
      <c r="I9" s="59">
        <f>I10+I27+I25+I29</f>
        <v>0</v>
      </c>
      <c r="J9" s="59">
        <f>J10+J27+J25+J29</f>
        <v>0</v>
      </c>
      <c r="K9" s="59">
        <f>K27+K29</f>
        <v>41500</v>
      </c>
      <c r="L9" s="59">
        <f>L27+L29</f>
        <v>40000</v>
      </c>
      <c r="M9" s="59">
        <f>M27+M29</f>
        <v>0</v>
      </c>
      <c r="N9" s="59">
        <f>N27+N29</f>
        <v>1500</v>
      </c>
      <c r="O9" s="366">
        <f>K9/$K$606</f>
        <v>0.0014800395095655489</v>
      </c>
    </row>
    <row r="10" spans="1:15" ht="17.25" customHeight="1" hidden="1">
      <c r="A10" s="20" t="s">
        <v>709</v>
      </c>
      <c r="B10" s="520"/>
      <c r="C10" s="10" t="s">
        <v>710</v>
      </c>
      <c r="D10" s="10">
        <f>D13+D14+D15+D16+D24</f>
        <v>303000</v>
      </c>
      <c r="E10" s="10">
        <f>E12+E13+E14+E15+E16+E17+E18+E19+E21+E22+E24+E11</f>
        <v>336000</v>
      </c>
      <c r="F10" s="10">
        <f>F12+F13+F14+F15+F16+F17+F18+F19+F21+F22+F11</f>
        <v>0</v>
      </c>
      <c r="G10" s="10">
        <f>G12+G13+G14+G15+G16+G17+G18+G19+G21+G22+G24+G11</f>
        <v>0</v>
      </c>
      <c r="H10" s="10">
        <f>H12+H13+H14+H15+H16+H17+H18+H19+H21+H22+H24+H11+H20+H23</f>
        <v>45600</v>
      </c>
      <c r="I10" s="10">
        <f>I12+I13+I14+I15+I16+I17+I18+I19+I21+I22+I24+I11+I20+I23</f>
        <v>0</v>
      </c>
      <c r="J10" s="10">
        <f>J12+J13+J14+J15+J16+J17+J18+J19+J21+J22+J24+J11+J20+J23</f>
        <v>0</v>
      </c>
      <c r="K10" s="10">
        <f>K12+K13+K14+K15+K16+K17+K18+K19+K21+K22+K24+K11+K20+K23</f>
        <v>0</v>
      </c>
      <c r="L10" s="10" t="e">
        <f>L11+L12+L13+L14+L15+L16+L17+L18+L19+L21+L22+L24+L23+L20</f>
        <v>#REF!</v>
      </c>
      <c r="M10" s="22">
        <f>M11+M12+M13+M14+M15+M16+M17+M18+M19+M21+M22+M24</f>
        <v>0</v>
      </c>
      <c r="N10" s="22">
        <f>N11+N12+N13+N14+N15+N16+N17+N18+N19+N21+N22+N24</f>
        <v>0</v>
      </c>
      <c r="O10" s="366">
        <v>0</v>
      </c>
    </row>
    <row r="11" spans="1:15" ht="12" customHeight="1" hidden="1">
      <c r="A11" s="20"/>
      <c r="B11" s="21" t="s">
        <v>711</v>
      </c>
      <c r="C11" s="23" t="s">
        <v>717</v>
      </c>
      <c r="D11" s="23"/>
      <c r="E11" s="23">
        <v>4100</v>
      </c>
      <c r="F11" s="23">
        <v>0</v>
      </c>
      <c r="G11" s="23">
        <v>0</v>
      </c>
      <c r="H11" s="23"/>
      <c r="I11" s="23"/>
      <c r="J11" s="23"/>
      <c r="K11" s="23"/>
      <c r="L11" s="23"/>
      <c r="M11" s="24"/>
      <c r="N11" s="24"/>
      <c r="O11" s="366">
        <f aca="true" t="shared" si="0" ref="O11:O78">K11/$K$606</f>
        <v>0</v>
      </c>
    </row>
    <row r="12" spans="1:15" ht="14.25" customHeight="1" hidden="1">
      <c r="A12" s="20"/>
      <c r="B12" s="21" t="s">
        <v>718</v>
      </c>
      <c r="C12" s="25" t="s">
        <v>719</v>
      </c>
      <c r="D12" s="23"/>
      <c r="E12" s="23">
        <v>1760</v>
      </c>
      <c r="F12" s="23">
        <v>0</v>
      </c>
      <c r="G12" s="23">
        <v>0</v>
      </c>
      <c r="H12" s="23"/>
      <c r="I12" s="23"/>
      <c r="J12" s="23"/>
      <c r="K12" s="23"/>
      <c r="L12" s="23"/>
      <c r="M12" s="24"/>
      <c r="N12" s="24"/>
      <c r="O12" s="366">
        <f t="shared" si="0"/>
        <v>0</v>
      </c>
    </row>
    <row r="13" spans="1:15" ht="0.75" customHeight="1" hidden="1">
      <c r="A13" s="559"/>
      <c r="B13" s="21" t="s">
        <v>720</v>
      </c>
      <c r="C13" s="14" t="s">
        <v>585</v>
      </c>
      <c r="D13" s="11">
        <v>70035</v>
      </c>
      <c r="E13" s="11">
        <v>72840</v>
      </c>
      <c r="F13" s="11">
        <v>0</v>
      </c>
      <c r="G13" s="11">
        <v>0</v>
      </c>
      <c r="H13" s="11">
        <v>14972</v>
      </c>
      <c r="I13" s="11">
        <v>0</v>
      </c>
      <c r="J13" s="11">
        <v>0</v>
      </c>
      <c r="K13" s="11">
        <v>0</v>
      </c>
      <c r="L13" s="11">
        <f>K13</f>
        <v>0</v>
      </c>
      <c r="M13" s="27">
        <v>0</v>
      </c>
      <c r="N13" s="27">
        <v>0</v>
      </c>
      <c r="O13" s="366">
        <v>0</v>
      </c>
    </row>
    <row r="14" spans="1:15" ht="26.25" customHeight="1" hidden="1">
      <c r="A14" s="559"/>
      <c r="B14" s="21" t="s">
        <v>722</v>
      </c>
      <c r="C14" s="14" t="s">
        <v>723</v>
      </c>
      <c r="D14" s="11">
        <v>149465</v>
      </c>
      <c r="E14" s="11">
        <v>158968</v>
      </c>
      <c r="F14" s="11">
        <v>0</v>
      </c>
      <c r="G14" s="11">
        <v>0</v>
      </c>
      <c r="H14" s="11">
        <v>19680</v>
      </c>
      <c r="I14" s="11">
        <v>0</v>
      </c>
      <c r="J14" s="11">
        <v>0</v>
      </c>
      <c r="K14" s="11">
        <v>0</v>
      </c>
      <c r="L14" s="11">
        <f aca="true" t="shared" si="1" ref="L14:L22">K14</f>
        <v>0</v>
      </c>
      <c r="M14" s="27">
        <v>0</v>
      </c>
      <c r="N14" s="27">
        <v>0</v>
      </c>
      <c r="O14" s="366">
        <v>0</v>
      </c>
    </row>
    <row r="15" spans="1:15" ht="18" customHeight="1" hidden="1">
      <c r="A15" s="559"/>
      <c r="B15" s="21" t="s">
        <v>724</v>
      </c>
      <c r="C15" s="14" t="s">
        <v>725</v>
      </c>
      <c r="D15" s="11">
        <v>16347</v>
      </c>
      <c r="E15" s="11">
        <v>17570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/>
      <c r="L15" s="11">
        <f t="shared" si="1"/>
        <v>0</v>
      </c>
      <c r="M15" s="27">
        <v>0</v>
      </c>
      <c r="N15" s="27">
        <v>0</v>
      </c>
      <c r="O15" s="366">
        <f t="shared" si="0"/>
        <v>0</v>
      </c>
    </row>
    <row r="16" spans="1:15" ht="13.5" customHeight="1" hidden="1">
      <c r="A16" s="559"/>
      <c r="B16" s="28" t="s">
        <v>726</v>
      </c>
      <c r="C16" s="14" t="s">
        <v>727</v>
      </c>
      <c r="D16" s="11">
        <v>45328</v>
      </c>
      <c r="E16" s="11">
        <v>39440</v>
      </c>
      <c r="F16" s="11">
        <v>0</v>
      </c>
      <c r="G16" s="11">
        <v>0</v>
      </c>
      <c r="H16" s="11">
        <v>6303</v>
      </c>
      <c r="I16" s="11">
        <v>0</v>
      </c>
      <c r="J16" s="11">
        <v>0</v>
      </c>
      <c r="K16" s="11">
        <v>0</v>
      </c>
      <c r="L16" s="11">
        <f t="shared" si="1"/>
        <v>0</v>
      </c>
      <c r="M16" s="27">
        <v>0</v>
      </c>
      <c r="N16" s="27">
        <v>0</v>
      </c>
      <c r="O16" s="366">
        <v>0</v>
      </c>
    </row>
    <row r="17" spans="1:15" ht="13.5" customHeight="1" hidden="1">
      <c r="A17" s="559"/>
      <c r="B17" s="28" t="s">
        <v>728</v>
      </c>
      <c r="C17" s="14" t="s">
        <v>729</v>
      </c>
      <c r="D17" s="11"/>
      <c r="E17" s="11">
        <v>5404</v>
      </c>
      <c r="F17" s="11">
        <v>0</v>
      </c>
      <c r="G17" s="11">
        <v>0</v>
      </c>
      <c r="H17" s="11">
        <v>849</v>
      </c>
      <c r="I17" s="11">
        <v>0</v>
      </c>
      <c r="J17" s="11">
        <v>0</v>
      </c>
      <c r="K17" s="11">
        <v>0</v>
      </c>
      <c r="L17" s="11">
        <f t="shared" si="1"/>
        <v>0</v>
      </c>
      <c r="M17" s="27">
        <v>0</v>
      </c>
      <c r="N17" s="27">
        <v>0</v>
      </c>
      <c r="O17" s="366">
        <v>0</v>
      </c>
    </row>
    <row r="18" spans="1:15" ht="13.5" customHeight="1" hidden="1">
      <c r="A18" s="559"/>
      <c r="B18" s="28" t="s">
        <v>730</v>
      </c>
      <c r="C18" s="14" t="s">
        <v>731</v>
      </c>
      <c r="D18" s="11"/>
      <c r="E18" s="11">
        <v>14688</v>
      </c>
      <c r="F18" s="11">
        <v>0</v>
      </c>
      <c r="G18" s="11">
        <v>0</v>
      </c>
      <c r="H18" s="11">
        <v>2134</v>
      </c>
      <c r="I18" s="11">
        <v>0</v>
      </c>
      <c r="J18" s="11">
        <v>0</v>
      </c>
      <c r="K18" s="11">
        <v>0</v>
      </c>
      <c r="L18" s="11">
        <f t="shared" si="1"/>
        <v>0</v>
      </c>
      <c r="M18" s="27">
        <v>0</v>
      </c>
      <c r="N18" s="27">
        <v>0</v>
      </c>
      <c r="O18" s="366">
        <v>0</v>
      </c>
    </row>
    <row r="19" spans="1:15" ht="0.75" customHeight="1" hidden="1">
      <c r="A19" s="559"/>
      <c r="B19" s="28" t="s">
        <v>732</v>
      </c>
      <c r="C19" s="14" t="s">
        <v>733</v>
      </c>
      <c r="D19" s="11"/>
      <c r="E19" s="11">
        <v>950</v>
      </c>
      <c r="F19" s="11">
        <v>0</v>
      </c>
      <c r="G19" s="11">
        <v>0</v>
      </c>
      <c r="H19" s="11">
        <v>714</v>
      </c>
      <c r="I19" s="11">
        <v>0</v>
      </c>
      <c r="J19" s="11">
        <v>0</v>
      </c>
      <c r="K19" s="11">
        <v>0</v>
      </c>
      <c r="L19" s="11">
        <f t="shared" si="1"/>
        <v>0</v>
      </c>
      <c r="M19" s="27">
        <v>0</v>
      </c>
      <c r="N19" s="27">
        <v>0</v>
      </c>
      <c r="O19" s="366">
        <v>0</v>
      </c>
    </row>
    <row r="20" spans="1:15" ht="15" customHeight="1" hidden="1">
      <c r="A20" s="559"/>
      <c r="B20" s="28" t="s">
        <v>734</v>
      </c>
      <c r="C20" s="14" t="s">
        <v>735</v>
      </c>
      <c r="D20" s="11"/>
      <c r="E20" s="11"/>
      <c r="F20" s="11"/>
      <c r="G20" s="11"/>
      <c r="H20" s="11">
        <v>0</v>
      </c>
      <c r="I20" s="11">
        <v>0</v>
      </c>
      <c r="J20" s="11">
        <v>0</v>
      </c>
      <c r="K20" s="11"/>
      <c r="L20" s="11">
        <f t="shared" si="1"/>
        <v>0</v>
      </c>
      <c r="M20" s="27">
        <v>0</v>
      </c>
      <c r="N20" s="27">
        <v>0</v>
      </c>
      <c r="O20" s="366">
        <f t="shared" si="0"/>
        <v>0</v>
      </c>
    </row>
    <row r="21" spans="1:15" ht="15.75" customHeight="1" hidden="1">
      <c r="A21" s="559"/>
      <c r="B21" s="28" t="s">
        <v>736</v>
      </c>
      <c r="C21" s="14" t="s">
        <v>737</v>
      </c>
      <c r="D21" s="11"/>
      <c r="E21" s="11">
        <v>15626</v>
      </c>
      <c r="F21" s="11">
        <v>0</v>
      </c>
      <c r="G21" s="11">
        <v>0</v>
      </c>
      <c r="H21" s="11">
        <v>779</v>
      </c>
      <c r="I21" s="11">
        <v>0</v>
      </c>
      <c r="J21" s="11">
        <v>0</v>
      </c>
      <c r="K21" s="11">
        <v>0</v>
      </c>
      <c r="L21" s="11">
        <f t="shared" si="1"/>
        <v>0</v>
      </c>
      <c r="M21" s="27">
        <v>0</v>
      </c>
      <c r="N21" s="27">
        <v>0</v>
      </c>
      <c r="O21" s="366">
        <v>0</v>
      </c>
    </row>
    <row r="22" spans="1:15" ht="16.5" customHeight="1" hidden="1">
      <c r="A22" s="559"/>
      <c r="B22" s="28" t="s">
        <v>738</v>
      </c>
      <c r="C22" s="14" t="s">
        <v>739</v>
      </c>
      <c r="D22" s="11"/>
      <c r="E22" s="11">
        <v>0</v>
      </c>
      <c r="F22" s="11">
        <v>0</v>
      </c>
      <c r="G22" s="11">
        <v>0</v>
      </c>
      <c r="H22" s="11">
        <v>169</v>
      </c>
      <c r="I22" s="11">
        <v>0</v>
      </c>
      <c r="J22" s="11">
        <v>0</v>
      </c>
      <c r="K22" s="11">
        <v>0</v>
      </c>
      <c r="L22" s="11">
        <f t="shared" si="1"/>
        <v>0</v>
      </c>
      <c r="M22" s="27">
        <v>0</v>
      </c>
      <c r="N22" s="27">
        <v>0</v>
      </c>
      <c r="O22" s="366">
        <v>0</v>
      </c>
    </row>
    <row r="23" spans="1:15" ht="16.5" customHeight="1" hidden="1">
      <c r="A23" s="559"/>
      <c r="B23" s="28" t="s">
        <v>740</v>
      </c>
      <c r="C23" s="14" t="s">
        <v>741</v>
      </c>
      <c r="D23" s="11"/>
      <c r="E23" s="11"/>
      <c r="F23" s="11"/>
      <c r="G23" s="11"/>
      <c r="H23" s="11">
        <v>0</v>
      </c>
      <c r="I23" s="11">
        <v>0</v>
      </c>
      <c r="J23" s="11">
        <v>0</v>
      </c>
      <c r="K23" s="11"/>
      <c r="L23" s="11" t="e">
        <f>#REF!</f>
        <v>#REF!</v>
      </c>
      <c r="M23" s="27">
        <v>0</v>
      </c>
      <c r="N23" s="27">
        <v>0</v>
      </c>
      <c r="O23" s="366">
        <f t="shared" si="0"/>
        <v>0</v>
      </c>
    </row>
    <row r="24" spans="1:15" ht="16.5" customHeight="1" hidden="1">
      <c r="A24" s="559"/>
      <c r="B24" s="21" t="s">
        <v>742</v>
      </c>
      <c r="C24" s="11" t="s">
        <v>743</v>
      </c>
      <c r="D24" s="11">
        <v>21825</v>
      </c>
      <c r="E24" s="11">
        <v>4654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/>
      <c r="L24" s="11" t="e">
        <f>#REF!</f>
        <v>#REF!</v>
      </c>
      <c r="M24" s="27">
        <v>0</v>
      </c>
      <c r="N24" s="27">
        <v>0</v>
      </c>
      <c r="O24" s="366">
        <f t="shared" si="0"/>
        <v>0</v>
      </c>
    </row>
    <row r="25" spans="1:15" ht="27.75" customHeight="1" hidden="1">
      <c r="A25" s="29" t="s">
        <v>483</v>
      </c>
      <c r="B25" s="30"/>
      <c r="C25" s="7" t="s">
        <v>484</v>
      </c>
      <c r="D25" s="10"/>
      <c r="E25" s="10"/>
      <c r="F25" s="10"/>
      <c r="G25" s="10"/>
      <c r="H25" s="10">
        <f aca="true" t="shared" si="2" ref="H25:N25">H26</f>
        <v>0</v>
      </c>
      <c r="I25" s="10">
        <f t="shared" si="2"/>
        <v>0</v>
      </c>
      <c r="J25" s="10">
        <f t="shared" si="2"/>
        <v>0</v>
      </c>
      <c r="K25" s="10"/>
      <c r="L25" s="10" t="e">
        <f t="shared" si="2"/>
        <v>#REF!</v>
      </c>
      <c r="M25" s="10">
        <f t="shared" si="2"/>
        <v>0</v>
      </c>
      <c r="N25" s="10">
        <f t="shared" si="2"/>
        <v>0</v>
      </c>
      <c r="O25" s="366">
        <f t="shared" si="0"/>
        <v>0</v>
      </c>
    </row>
    <row r="26" spans="1:15" ht="18.75" customHeight="1" hidden="1">
      <c r="A26" s="29"/>
      <c r="B26" s="34" t="s">
        <v>730</v>
      </c>
      <c r="C26" s="32" t="s">
        <v>731</v>
      </c>
      <c r="D26" s="23"/>
      <c r="E26" s="23"/>
      <c r="F26" s="23"/>
      <c r="G26" s="23"/>
      <c r="H26" s="23">
        <v>0</v>
      </c>
      <c r="I26" s="23">
        <v>0</v>
      </c>
      <c r="J26" s="23">
        <v>0</v>
      </c>
      <c r="K26" s="23"/>
      <c r="L26" s="23" t="e">
        <f>#REF!</f>
        <v>#REF!</v>
      </c>
      <c r="M26" s="27">
        <v>0</v>
      </c>
      <c r="N26" s="27">
        <v>0</v>
      </c>
      <c r="O26" s="366">
        <f t="shared" si="0"/>
        <v>0</v>
      </c>
    </row>
    <row r="27" spans="1:15" ht="15" customHeight="1">
      <c r="A27" s="29" t="s">
        <v>744</v>
      </c>
      <c r="B27" s="30"/>
      <c r="C27" s="294" t="s">
        <v>290</v>
      </c>
      <c r="D27" s="10">
        <f aca="true" t="shared" si="3" ref="D27:N27">D28</f>
        <v>0</v>
      </c>
      <c r="E27" s="10">
        <f t="shared" si="3"/>
        <v>37400</v>
      </c>
      <c r="F27" s="10">
        <f t="shared" si="3"/>
        <v>0</v>
      </c>
      <c r="G27" s="10">
        <f t="shared" si="3"/>
        <v>0</v>
      </c>
      <c r="H27" s="10">
        <f t="shared" si="3"/>
        <v>45000</v>
      </c>
      <c r="I27" s="10">
        <f t="shared" si="3"/>
        <v>0</v>
      </c>
      <c r="J27" s="10">
        <f t="shared" si="3"/>
        <v>0</v>
      </c>
      <c r="K27" s="10">
        <f t="shared" si="3"/>
        <v>40000</v>
      </c>
      <c r="L27" s="10">
        <f t="shared" si="3"/>
        <v>40000</v>
      </c>
      <c r="M27" s="22">
        <f t="shared" si="3"/>
        <v>0</v>
      </c>
      <c r="N27" s="22">
        <f t="shared" si="3"/>
        <v>0</v>
      </c>
      <c r="O27" s="366">
        <f t="shared" si="0"/>
        <v>0.0014265441056053483</v>
      </c>
    </row>
    <row r="28" spans="1:15" ht="15" customHeight="1">
      <c r="A28" s="26"/>
      <c r="B28" s="21" t="s">
        <v>736</v>
      </c>
      <c r="C28" s="14" t="s">
        <v>737</v>
      </c>
      <c r="D28" s="11">
        <v>0</v>
      </c>
      <c r="E28" s="11">
        <v>37400</v>
      </c>
      <c r="F28" s="11">
        <v>0</v>
      </c>
      <c r="G28" s="11">
        <v>0</v>
      </c>
      <c r="H28" s="11">
        <v>45000</v>
      </c>
      <c r="I28" s="11">
        <v>0</v>
      </c>
      <c r="J28" s="11">
        <v>0</v>
      </c>
      <c r="K28" s="11">
        <v>40000</v>
      </c>
      <c r="L28" s="11">
        <f>K28</f>
        <v>40000</v>
      </c>
      <c r="M28" s="27">
        <v>0</v>
      </c>
      <c r="N28" s="27">
        <v>0</v>
      </c>
      <c r="O28" s="366">
        <f t="shared" si="0"/>
        <v>0.0014265441056053483</v>
      </c>
    </row>
    <row r="29" spans="1:15" ht="14.25" customHeight="1">
      <c r="A29" s="29" t="s">
        <v>331</v>
      </c>
      <c r="B29" s="30"/>
      <c r="C29" s="7" t="s">
        <v>795</v>
      </c>
      <c r="D29" s="10"/>
      <c r="E29" s="10"/>
      <c r="F29" s="10"/>
      <c r="G29" s="10"/>
      <c r="H29" s="10">
        <f aca="true" t="shared" si="4" ref="H29:N29">H30</f>
        <v>1200</v>
      </c>
      <c r="I29" s="10">
        <f t="shared" si="4"/>
        <v>0</v>
      </c>
      <c r="J29" s="10">
        <f t="shared" si="4"/>
        <v>0</v>
      </c>
      <c r="K29" s="10">
        <f t="shared" si="4"/>
        <v>1500</v>
      </c>
      <c r="L29" s="10">
        <f t="shared" si="4"/>
        <v>0</v>
      </c>
      <c r="M29" s="10">
        <f t="shared" si="4"/>
        <v>0</v>
      </c>
      <c r="N29" s="10">
        <f t="shared" si="4"/>
        <v>1500</v>
      </c>
      <c r="O29" s="366">
        <f t="shared" si="0"/>
        <v>5.349540396020056E-05</v>
      </c>
    </row>
    <row r="30" spans="1:15" ht="15.75" customHeight="1">
      <c r="A30" s="26"/>
      <c r="B30" s="21" t="s">
        <v>783</v>
      </c>
      <c r="C30" s="14" t="s">
        <v>579</v>
      </c>
      <c r="D30" s="11"/>
      <c r="E30" s="11"/>
      <c r="F30" s="11"/>
      <c r="G30" s="11"/>
      <c r="H30" s="11">
        <v>1200</v>
      </c>
      <c r="I30" s="11">
        <v>0</v>
      </c>
      <c r="J30" s="11">
        <v>0</v>
      </c>
      <c r="K30" s="11">
        <v>1500</v>
      </c>
      <c r="L30" s="11">
        <v>0</v>
      </c>
      <c r="M30" s="27">
        <v>0</v>
      </c>
      <c r="N30" s="27">
        <f>K30</f>
        <v>1500</v>
      </c>
      <c r="O30" s="366">
        <f t="shared" si="0"/>
        <v>5.349540396020056E-05</v>
      </c>
    </row>
    <row r="31" spans="1:15" ht="15" customHeight="1">
      <c r="A31" s="20" t="s">
        <v>745</v>
      </c>
      <c r="B31" s="520"/>
      <c r="C31" s="10" t="s">
        <v>746</v>
      </c>
      <c r="D31" s="10">
        <f aca="true" t="shared" si="5" ref="D31:G32">D32</f>
        <v>29992</v>
      </c>
      <c r="E31" s="10">
        <f t="shared" si="5"/>
        <v>21000</v>
      </c>
      <c r="F31" s="10">
        <f t="shared" si="5"/>
        <v>0</v>
      </c>
      <c r="G31" s="10">
        <f t="shared" si="5"/>
        <v>0</v>
      </c>
      <c r="H31" s="10">
        <f aca="true" t="shared" si="6" ref="H31:N31">H32+H34</f>
        <v>94025</v>
      </c>
      <c r="I31" s="10">
        <f t="shared" si="6"/>
        <v>0</v>
      </c>
      <c r="J31" s="10">
        <f t="shared" si="6"/>
        <v>0</v>
      </c>
      <c r="K31" s="10">
        <f t="shared" si="6"/>
        <v>148488</v>
      </c>
      <c r="L31" s="10">
        <f t="shared" si="6"/>
        <v>0</v>
      </c>
      <c r="M31" s="10">
        <f t="shared" si="6"/>
        <v>148488</v>
      </c>
      <c r="N31" s="10">
        <f t="shared" si="6"/>
        <v>0</v>
      </c>
      <c r="O31" s="366">
        <f t="shared" si="0"/>
        <v>0.005295617028828174</v>
      </c>
    </row>
    <row r="32" spans="1:15" ht="13.5" customHeight="1">
      <c r="A32" s="20" t="s">
        <v>491</v>
      </c>
      <c r="B32" s="520"/>
      <c r="C32" s="10" t="s">
        <v>490</v>
      </c>
      <c r="D32" s="10">
        <f t="shared" si="5"/>
        <v>29992</v>
      </c>
      <c r="E32" s="10">
        <f t="shared" si="5"/>
        <v>21000</v>
      </c>
      <c r="F32" s="10">
        <f t="shared" si="5"/>
        <v>0</v>
      </c>
      <c r="G32" s="10">
        <f t="shared" si="5"/>
        <v>0</v>
      </c>
      <c r="H32" s="10">
        <f aca="true" t="shared" si="7" ref="H32:M32">H33</f>
        <v>83025</v>
      </c>
      <c r="I32" s="10">
        <f t="shared" si="7"/>
        <v>0</v>
      </c>
      <c r="J32" s="10">
        <f t="shared" si="7"/>
        <v>0</v>
      </c>
      <c r="K32" s="10">
        <f t="shared" si="7"/>
        <v>136388</v>
      </c>
      <c r="L32" s="10">
        <f t="shared" si="7"/>
        <v>0</v>
      </c>
      <c r="M32" s="22">
        <f t="shared" si="7"/>
        <v>136388</v>
      </c>
      <c r="N32" s="22">
        <f>N33</f>
        <v>0</v>
      </c>
      <c r="O32" s="366">
        <f t="shared" si="0"/>
        <v>0.004864087436882556</v>
      </c>
    </row>
    <row r="33" spans="1:15" ht="15.75" customHeight="1">
      <c r="A33" s="31"/>
      <c r="B33" s="21" t="s">
        <v>718</v>
      </c>
      <c r="C33" s="11" t="s">
        <v>787</v>
      </c>
      <c r="D33" s="11">
        <v>29992</v>
      </c>
      <c r="E33" s="11">
        <v>21000</v>
      </c>
      <c r="F33" s="11">
        <v>0</v>
      </c>
      <c r="G33" s="11">
        <v>0</v>
      </c>
      <c r="H33" s="11">
        <v>83025</v>
      </c>
      <c r="I33" s="11">
        <v>0</v>
      </c>
      <c r="J33" s="11">
        <v>0</v>
      </c>
      <c r="K33" s="11">
        <v>136388</v>
      </c>
      <c r="L33" s="11">
        <v>0</v>
      </c>
      <c r="M33" s="27">
        <f>K33</f>
        <v>136388</v>
      </c>
      <c r="N33" s="27">
        <v>0</v>
      </c>
      <c r="O33" s="366">
        <f t="shared" si="0"/>
        <v>0.004864087436882556</v>
      </c>
    </row>
    <row r="34" spans="1:15" ht="16.5" customHeight="1">
      <c r="A34" s="20" t="s">
        <v>747</v>
      </c>
      <c r="B34" s="21"/>
      <c r="C34" s="10" t="s">
        <v>748</v>
      </c>
      <c r="D34" s="11"/>
      <c r="E34" s="11"/>
      <c r="F34" s="11"/>
      <c r="G34" s="11"/>
      <c r="H34" s="10">
        <f aca="true" t="shared" si="8" ref="H34:N34">H36+H35</f>
        <v>11000</v>
      </c>
      <c r="I34" s="10">
        <f t="shared" si="8"/>
        <v>0</v>
      </c>
      <c r="J34" s="10">
        <f t="shared" si="8"/>
        <v>0</v>
      </c>
      <c r="K34" s="10">
        <f t="shared" si="8"/>
        <v>12100</v>
      </c>
      <c r="L34" s="10">
        <f t="shared" si="8"/>
        <v>0</v>
      </c>
      <c r="M34" s="10">
        <f t="shared" si="8"/>
        <v>12100</v>
      </c>
      <c r="N34" s="10">
        <f t="shared" si="8"/>
        <v>0</v>
      </c>
      <c r="O34" s="366">
        <f t="shared" si="0"/>
        <v>0.00043152959194561784</v>
      </c>
    </row>
    <row r="35" spans="1:15" ht="16.5" customHeight="1">
      <c r="A35" s="20"/>
      <c r="B35" s="21" t="s">
        <v>730</v>
      </c>
      <c r="C35" s="23" t="s">
        <v>731</v>
      </c>
      <c r="D35" s="23"/>
      <c r="E35" s="23"/>
      <c r="F35" s="23"/>
      <c r="G35" s="23"/>
      <c r="H35" s="23">
        <v>942</v>
      </c>
      <c r="I35" s="11">
        <v>0</v>
      </c>
      <c r="J35" s="11">
        <v>0</v>
      </c>
      <c r="K35" s="11">
        <v>500</v>
      </c>
      <c r="L35" s="23">
        <v>0</v>
      </c>
      <c r="M35" s="23">
        <f>K35</f>
        <v>500</v>
      </c>
      <c r="N35" s="23">
        <v>0</v>
      </c>
      <c r="O35" s="366">
        <f t="shared" si="0"/>
        <v>1.7831801320066853E-05</v>
      </c>
    </row>
    <row r="36" spans="1:15" ht="16.5" customHeight="1">
      <c r="A36" s="31"/>
      <c r="B36" s="21" t="s">
        <v>736</v>
      </c>
      <c r="C36" s="11" t="s">
        <v>737</v>
      </c>
      <c r="D36" s="11"/>
      <c r="E36" s="11"/>
      <c r="F36" s="11"/>
      <c r="G36" s="11"/>
      <c r="H36" s="11">
        <v>10058</v>
      </c>
      <c r="I36" s="11">
        <v>0</v>
      </c>
      <c r="J36" s="11">
        <v>0</v>
      </c>
      <c r="K36" s="11">
        <v>11600</v>
      </c>
      <c r="L36" s="11">
        <v>0</v>
      </c>
      <c r="M36" s="27">
        <f>K36</f>
        <v>11600</v>
      </c>
      <c r="N36" s="27">
        <v>0</v>
      </c>
      <c r="O36" s="366">
        <f t="shared" si="0"/>
        <v>0.000413697790625551</v>
      </c>
    </row>
    <row r="37" spans="1:15" ht="17.25" customHeight="1">
      <c r="A37" s="20" t="s">
        <v>749</v>
      </c>
      <c r="B37" s="21"/>
      <c r="C37" s="10" t="s">
        <v>750</v>
      </c>
      <c r="D37" s="10">
        <f aca="true" t="shared" si="9" ref="D37:M37">D38</f>
        <v>2556000</v>
      </c>
      <c r="E37" s="10">
        <f t="shared" si="9"/>
        <v>3028010</v>
      </c>
      <c r="F37" s="10">
        <f t="shared" si="9"/>
        <v>848000</v>
      </c>
      <c r="G37" s="10">
        <f t="shared" si="9"/>
        <v>648000</v>
      </c>
      <c r="H37" s="10">
        <f t="shared" si="9"/>
        <v>3705013</v>
      </c>
      <c r="I37" s="10">
        <f t="shared" si="9"/>
        <v>0</v>
      </c>
      <c r="J37" s="10">
        <f t="shared" si="9"/>
        <v>0</v>
      </c>
      <c r="K37" s="10">
        <f t="shared" si="9"/>
        <v>4242984</v>
      </c>
      <c r="L37" s="10">
        <f t="shared" si="9"/>
        <v>0</v>
      </c>
      <c r="M37" s="22">
        <f t="shared" si="9"/>
        <v>4192984</v>
      </c>
      <c r="N37" s="22">
        <f>N38</f>
        <v>50000</v>
      </c>
      <c r="O37" s="366">
        <f t="shared" si="0"/>
        <v>0.15132009538444507</v>
      </c>
    </row>
    <row r="38" spans="1:15" ht="14.25" customHeight="1">
      <c r="A38" s="20" t="s">
        <v>751</v>
      </c>
      <c r="B38" s="21"/>
      <c r="C38" s="10" t="s">
        <v>752</v>
      </c>
      <c r="D38" s="10">
        <f>D39+D40+D41+D44+D55+D58</f>
        <v>2556000</v>
      </c>
      <c r="E38" s="10">
        <f>E39+E40+E41+E42+E44+E45+E46+E47+E48+E49+E51+E52+E53+E54+E55+E56+E58+E59</f>
        <v>3028010</v>
      </c>
      <c r="F38" s="10">
        <f>F39+F40+F41+F42+F44+F45+F46+F47+F48+F49+F51+F52+F53+F54+F56+F58+F59+F57</f>
        <v>848000</v>
      </c>
      <c r="G38" s="10">
        <f>G39+G40+G41+G42+G44+G45+G46+G47+G48+G49+G51+G52+G53+G54+G56+G58+G59+G57</f>
        <v>648000</v>
      </c>
      <c r="H38" s="10">
        <f>H39+H40+H41+H42+H44+H45+H46+H47+H48+H49+H51+H52+H53+H54+H56+H58+H59+H57+H62+H63+H55</f>
        <v>3705013</v>
      </c>
      <c r="I38" s="10">
        <f>I39+I40+I41+I42+I44+I45+I46+I47+I48+I49+I51+I52+I53+I54+I56+I58+I59+I57+I62+I63+I55</f>
        <v>0</v>
      </c>
      <c r="J38" s="10">
        <f>J39+J40+J41+J42+J44+J45+J46+J47+J48+J49+J51+J52+J53+J54+J56+J58+J59+J57+J62+J63+J55</f>
        <v>0</v>
      </c>
      <c r="K38" s="10">
        <f>K39+K40+K41+K42+K43+K44+K46+K47+K48+K49+K50+K51+K52+K53+K54+K56++K60+K61+K62+K63</f>
        <v>4242984</v>
      </c>
      <c r="L38" s="10">
        <f>L39+L40+L41+L42+L43+L44+L46+L47+L48+L49+L50+L51+L52+L53+L54+L56+L60+L61+L62+L63</f>
        <v>0</v>
      </c>
      <c r="M38" s="10">
        <f>M39+M40+M41+M42+M43+M44+M46+M47+M48+M49+M50+M51+M52+M53+M54+M56+M60+M61+M62+M63</f>
        <v>4192984</v>
      </c>
      <c r="N38" s="10">
        <f>N39+N40+N41+N42+N43+N44+N46+N47+N48+N49+N50+N51+N52+N53+N54+N56+N60+N61+N62+N63</f>
        <v>50000</v>
      </c>
      <c r="O38" s="366">
        <f t="shared" si="0"/>
        <v>0.15132009538444507</v>
      </c>
    </row>
    <row r="39" spans="1:15" ht="15.75" customHeight="1">
      <c r="A39" s="559"/>
      <c r="B39" s="21" t="s">
        <v>720</v>
      </c>
      <c r="C39" s="14" t="s">
        <v>721</v>
      </c>
      <c r="D39" s="11">
        <v>580000</v>
      </c>
      <c r="E39" s="11">
        <v>599500</v>
      </c>
      <c r="F39" s="11">
        <v>0</v>
      </c>
      <c r="G39" s="11">
        <v>0</v>
      </c>
      <c r="H39" s="11">
        <v>356415</v>
      </c>
      <c r="I39" s="11">
        <v>0</v>
      </c>
      <c r="J39" s="11">
        <v>0</v>
      </c>
      <c r="K39" s="11">
        <v>304950</v>
      </c>
      <c r="L39" s="11">
        <v>0</v>
      </c>
      <c r="M39" s="27">
        <f>K39</f>
        <v>304950</v>
      </c>
      <c r="N39" s="27">
        <v>0</v>
      </c>
      <c r="O39" s="366">
        <f t="shared" si="0"/>
        <v>0.010875615625108774</v>
      </c>
    </row>
    <row r="40" spans="1:15" ht="15.75" customHeight="1">
      <c r="A40" s="559"/>
      <c r="B40" s="21" t="s">
        <v>724</v>
      </c>
      <c r="C40" s="14" t="s">
        <v>725</v>
      </c>
      <c r="D40" s="11">
        <v>37980</v>
      </c>
      <c r="E40" s="11">
        <v>46300</v>
      </c>
      <c r="F40" s="11">
        <v>0</v>
      </c>
      <c r="G40" s="11">
        <v>41</v>
      </c>
      <c r="H40" s="11">
        <v>33240</v>
      </c>
      <c r="I40" s="11">
        <v>0</v>
      </c>
      <c r="J40" s="11">
        <v>0</v>
      </c>
      <c r="K40" s="11">
        <v>28839</v>
      </c>
      <c r="L40" s="11">
        <v>0</v>
      </c>
      <c r="M40" s="27">
        <f aca="true" t="shared" si="10" ref="M40:M56">K40</f>
        <v>28839</v>
      </c>
      <c r="N40" s="27">
        <v>0</v>
      </c>
      <c r="O40" s="366">
        <f t="shared" si="0"/>
        <v>0.001028502636538816</v>
      </c>
    </row>
    <row r="41" spans="1:15" ht="15" customHeight="1">
      <c r="A41" s="559"/>
      <c r="B41" s="28" t="s">
        <v>753</v>
      </c>
      <c r="C41" s="14" t="s">
        <v>754</v>
      </c>
      <c r="D41" s="11">
        <v>121770</v>
      </c>
      <c r="E41" s="11">
        <v>110000</v>
      </c>
      <c r="F41" s="11">
        <v>0</v>
      </c>
      <c r="G41" s="11">
        <v>1150</v>
      </c>
      <c r="H41" s="11">
        <v>73348</v>
      </c>
      <c r="I41" s="11">
        <v>0</v>
      </c>
      <c r="J41" s="11">
        <v>0</v>
      </c>
      <c r="K41" s="11">
        <v>58474</v>
      </c>
      <c r="L41" s="11">
        <v>0</v>
      </c>
      <c r="M41" s="27">
        <f t="shared" si="10"/>
        <v>58474</v>
      </c>
      <c r="N41" s="27">
        <v>0</v>
      </c>
      <c r="O41" s="366">
        <f t="shared" si="0"/>
        <v>0.0020853935007791786</v>
      </c>
    </row>
    <row r="42" spans="1:15" ht="14.25" customHeight="1">
      <c r="A42" s="559"/>
      <c r="B42" s="28" t="s">
        <v>728</v>
      </c>
      <c r="C42" s="14" t="s">
        <v>729</v>
      </c>
      <c r="D42" s="11"/>
      <c r="E42" s="11">
        <v>12400</v>
      </c>
      <c r="F42" s="11">
        <v>2500</v>
      </c>
      <c r="G42" s="11">
        <v>0</v>
      </c>
      <c r="H42" s="11">
        <v>10132</v>
      </c>
      <c r="I42" s="11">
        <v>0</v>
      </c>
      <c r="J42" s="11">
        <v>0</v>
      </c>
      <c r="K42" s="11">
        <v>8080</v>
      </c>
      <c r="L42" s="11">
        <v>0</v>
      </c>
      <c r="M42" s="27">
        <f t="shared" si="10"/>
        <v>8080</v>
      </c>
      <c r="N42" s="27">
        <v>0</v>
      </c>
      <c r="O42" s="366">
        <f t="shared" si="0"/>
        <v>0.00028816190933228037</v>
      </c>
    </row>
    <row r="43" spans="1:15" ht="14.25" customHeight="1">
      <c r="A43" s="559"/>
      <c r="B43" s="28" t="s">
        <v>459</v>
      </c>
      <c r="C43" s="14" t="s">
        <v>460</v>
      </c>
      <c r="D43" s="11"/>
      <c r="E43" s="11"/>
      <c r="F43" s="11"/>
      <c r="G43" s="11"/>
      <c r="H43" s="11"/>
      <c r="I43" s="11"/>
      <c r="J43" s="11"/>
      <c r="K43" s="11">
        <v>5000</v>
      </c>
      <c r="L43" s="11">
        <v>0</v>
      </c>
      <c r="M43" s="27">
        <f>K43</f>
        <v>5000</v>
      </c>
      <c r="N43" s="27">
        <v>0</v>
      </c>
      <c r="O43" s="366">
        <f>K43/$K$606</f>
        <v>0.00017831801320066854</v>
      </c>
    </row>
    <row r="44" spans="1:15" ht="13.5" customHeight="1">
      <c r="A44" s="559"/>
      <c r="B44" s="21" t="s">
        <v>711</v>
      </c>
      <c r="C44" s="11" t="s">
        <v>756</v>
      </c>
      <c r="D44" s="11">
        <v>1296250</v>
      </c>
      <c r="E44" s="23">
        <v>4000</v>
      </c>
      <c r="F44" s="23">
        <v>0</v>
      </c>
      <c r="G44" s="23">
        <v>0</v>
      </c>
      <c r="H44" s="23">
        <v>6000</v>
      </c>
      <c r="I44" s="11">
        <v>0</v>
      </c>
      <c r="J44" s="11">
        <v>0</v>
      </c>
      <c r="K44" s="11">
        <v>4000</v>
      </c>
      <c r="L44" s="11">
        <v>0</v>
      </c>
      <c r="M44" s="27">
        <f t="shared" si="10"/>
        <v>4000</v>
      </c>
      <c r="N44" s="27">
        <v>0</v>
      </c>
      <c r="O44" s="366">
        <f t="shared" si="0"/>
        <v>0.00014265441056053482</v>
      </c>
    </row>
    <row r="45" spans="1:15" ht="17.25" customHeight="1" hidden="1">
      <c r="A45" s="26"/>
      <c r="B45" s="21" t="s">
        <v>876</v>
      </c>
      <c r="C45" s="32" t="s">
        <v>450</v>
      </c>
      <c r="D45" s="11">
        <v>1156000</v>
      </c>
      <c r="E45" s="23">
        <v>300</v>
      </c>
      <c r="F45" s="23">
        <v>0</v>
      </c>
      <c r="G45" s="23">
        <v>300</v>
      </c>
      <c r="H45" s="23">
        <v>0</v>
      </c>
      <c r="I45" s="11">
        <v>0</v>
      </c>
      <c r="J45" s="11">
        <v>0</v>
      </c>
      <c r="K45" s="11"/>
      <c r="L45" s="11">
        <v>0</v>
      </c>
      <c r="M45" s="27">
        <f t="shared" si="10"/>
        <v>0</v>
      </c>
      <c r="N45" s="27">
        <v>0</v>
      </c>
      <c r="O45" s="366">
        <f t="shared" si="0"/>
        <v>0</v>
      </c>
    </row>
    <row r="46" spans="1:15" ht="12.75" customHeight="1">
      <c r="A46" s="26"/>
      <c r="B46" s="21" t="s">
        <v>730</v>
      </c>
      <c r="C46" s="32" t="s">
        <v>757</v>
      </c>
      <c r="D46" s="11"/>
      <c r="E46" s="23">
        <v>130378</v>
      </c>
      <c r="F46" s="23">
        <v>40000</v>
      </c>
      <c r="G46" s="23">
        <v>0</v>
      </c>
      <c r="H46" s="23">
        <v>140000</v>
      </c>
      <c r="I46" s="11">
        <v>0</v>
      </c>
      <c r="J46" s="11">
        <v>0</v>
      </c>
      <c r="K46" s="11">
        <v>250000</v>
      </c>
      <c r="L46" s="11">
        <v>0</v>
      </c>
      <c r="M46" s="27">
        <f t="shared" si="10"/>
        <v>250000</v>
      </c>
      <c r="N46" s="27">
        <v>0</v>
      </c>
      <c r="O46" s="366">
        <f t="shared" si="0"/>
        <v>0.008915900660033426</v>
      </c>
    </row>
    <row r="47" spans="1:15" ht="13.5" customHeight="1">
      <c r="A47" s="26"/>
      <c r="B47" s="21" t="s">
        <v>732</v>
      </c>
      <c r="C47" s="32" t="s">
        <v>733</v>
      </c>
      <c r="D47" s="11"/>
      <c r="E47" s="23">
        <v>33000</v>
      </c>
      <c r="F47" s="23">
        <v>5000</v>
      </c>
      <c r="G47" s="23">
        <v>0</v>
      </c>
      <c r="H47" s="23">
        <v>30000</v>
      </c>
      <c r="I47" s="11">
        <v>0</v>
      </c>
      <c r="J47" s="11">
        <v>0</v>
      </c>
      <c r="K47" s="11">
        <v>30000</v>
      </c>
      <c r="L47" s="11">
        <v>0</v>
      </c>
      <c r="M47" s="27">
        <f t="shared" si="10"/>
        <v>30000</v>
      </c>
      <c r="N47" s="27">
        <v>0</v>
      </c>
      <c r="O47" s="366">
        <f t="shared" si="0"/>
        <v>0.0010699080792040112</v>
      </c>
    </row>
    <row r="48" spans="1:15" ht="13.5" customHeight="1">
      <c r="A48" s="26"/>
      <c r="B48" s="21" t="s">
        <v>734</v>
      </c>
      <c r="C48" s="32" t="s">
        <v>735</v>
      </c>
      <c r="D48" s="11"/>
      <c r="E48" s="23">
        <v>613990</v>
      </c>
      <c r="F48" s="23">
        <v>0</v>
      </c>
      <c r="G48" s="23">
        <v>500000</v>
      </c>
      <c r="H48" s="23">
        <v>7000</v>
      </c>
      <c r="I48" s="11">
        <v>0</v>
      </c>
      <c r="J48" s="11">
        <v>0</v>
      </c>
      <c r="K48" s="11">
        <v>165000</v>
      </c>
      <c r="L48" s="11">
        <v>0</v>
      </c>
      <c r="M48" s="27">
        <f t="shared" si="10"/>
        <v>165000</v>
      </c>
      <c r="N48" s="27">
        <v>0</v>
      </c>
      <c r="O48" s="366">
        <f t="shared" si="0"/>
        <v>0.0058844944356220615</v>
      </c>
    </row>
    <row r="49" spans="1:15" ht="14.25" customHeight="1">
      <c r="A49" s="26"/>
      <c r="B49" s="21" t="s">
        <v>736</v>
      </c>
      <c r="C49" s="32" t="s">
        <v>737</v>
      </c>
      <c r="D49" s="11"/>
      <c r="E49" s="23">
        <v>828700</v>
      </c>
      <c r="F49" s="23">
        <v>0</v>
      </c>
      <c r="G49" s="23">
        <v>142451</v>
      </c>
      <c r="H49" s="23">
        <v>412661</v>
      </c>
      <c r="I49" s="11">
        <v>0</v>
      </c>
      <c r="J49" s="11">
        <v>0</v>
      </c>
      <c r="K49" s="11">
        <v>224333</v>
      </c>
      <c r="L49" s="11">
        <v>0</v>
      </c>
      <c r="M49" s="27">
        <f t="shared" si="10"/>
        <v>224333</v>
      </c>
      <c r="N49" s="27">
        <v>0</v>
      </c>
      <c r="O49" s="366">
        <f t="shared" si="0"/>
        <v>0.008000522971069115</v>
      </c>
    </row>
    <row r="50" spans="1:15" ht="14.25" customHeight="1">
      <c r="A50" s="26"/>
      <c r="B50" s="21" t="s">
        <v>461</v>
      </c>
      <c r="C50" s="32" t="s">
        <v>462</v>
      </c>
      <c r="D50" s="11"/>
      <c r="E50" s="23"/>
      <c r="F50" s="23"/>
      <c r="G50" s="23"/>
      <c r="H50" s="23"/>
      <c r="I50" s="11"/>
      <c r="J50" s="11"/>
      <c r="K50" s="11">
        <v>1000</v>
      </c>
      <c r="L50" s="11">
        <v>0</v>
      </c>
      <c r="M50" s="27">
        <f>K50</f>
        <v>1000</v>
      </c>
      <c r="N50" s="27">
        <v>0</v>
      </c>
      <c r="O50" s="366">
        <f>K50/$K$606</f>
        <v>3.5663602640133705E-05</v>
      </c>
    </row>
    <row r="51" spans="1:15" ht="14.25" customHeight="1">
      <c r="A51" s="26"/>
      <c r="B51" s="21" t="s">
        <v>738</v>
      </c>
      <c r="C51" s="32" t="s">
        <v>739</v>
      </c>
      <c r="D51" s="11"/>
      <c r="E51" s="23">
        <v>660</v>
      </c>
      <c r="F51" s="23">
        <v>0</v>
      </c>
      <c r="G51" s="23">
        <v>300</v>
      </c>
      <c r="H51" s="23">
        <v>500</v>
      </c>
      <c r="I51" s="11">
        <v>0</v>
      </c>
      <c r="J51" s="11">
        <v>0</v>
      </c>
      <c r="K51" s="11">
        <v>1000</v>
      </c>
      <c r="L51" s="11">
        <v>0</v>
      </c>
      <c r="M51" s="27">
        <f t="shared" si="10"/>
        <v>1000</v>
      </c>
      <c r="N51" s="27">
        <v>0</v>
      </c>
      <c r="O51" s="366">
        <f t="shared" si="0"/>
        <v>3.5663602640133705E-05</v>
      </c>
    </row>
    <row r="52" spans="1:15" ht="15.75" customHeight="1">
      <c r="A52" s="26"/>
      <c r="B52" s="21" t="s">
        <v>740</v>
      </c>
      <c r="C52" s="32" t="s">
        <v>741</v>
      </c>
      <c r="D52" s="11"/>
      <c r="E52" s="23">
        <v>23000</v>
      </c>
      <c r="F52" s="23">
        <v>500</v>
      </c>
      <c r="G52" s="23">
        <v>0</v>
      </c>
      <c r="H52" s="23">
        <v>15412</v>
      </c>
      <c r="I52" s="11">
        <v>0</v>
      </c>
      <c r="J52" s="11">
        <v>0</v>
      </c>
      <c r="K52" s="11">
        <v>2000</v>
      </c>
      <c r="L52" s="11">
        <v>0</v>
      </c>
      <c r="M52" s="27">
        <f t="shared" si="10"/>
        <v>2000</v>
      </c>
      <c r="N52" s="27">
        <v>0</v>
      </c>
      <c r="O52" s="366">
        <f t="shared" si="0"/>
        <v>7.132720528026741E-05</v>
      </c>
    </row>
    <row r="53" spans="1:15" ht="13.5" customHeight="1">
      <c r="A53" s="26"/>
      <c r="B53" s="21" t="s">
        <v>742</v>
      </c>
      <c r="C53" s="32" t="s">
        <v>743</v>
      </c>
      <c r="D53" s="11"/>
      <c r="E53" s="23">
        <v>14893</v>
      </c>
      <c r="F53" s="23">
        <v>0</v>
      </c>
      <c r="G53" s="23">
        <v>0</v>
      </c>
      <c r="H53" s="23">
        <v>13388</v>
      </c>
      <c r="I53" s="11">
        <v>0</v>
      </c>
      <c r="J53" s="11">
        <v>0</v>
      </c>
      <c r="K53" s="11">
        <v>8539</v>
      </c>
      <c r="L53" s="11">
        <v>0</v>
      </c>
      <c r="M53" s="27">
        <f t="shared" si="10"/>
        <v>8539</v>
      </c>
      <c r="N53" s="27">
        <v>0</v>
      </c>
      <c r="O53" s="366">
        <f t="shared" si="0"/>
        <v>0.0003045315029441017</v>
      </c>
    </row>
    <row r="54" spans="1:15" ht="13.5" customHeight="1">
      <c r="A54" s="26"/>
      <c r="B54" s="21" t="s">
        <v>758</v>
      </c>
      <c r="C54" s="32" t="s">
        <v>759</v>
      </c>
      <c r="D54" s="11"/>
      <c r="E54" s="23">
        <v>8147</v>
      </c>
      <c r="F54" s="23">
        <v>0</v>
      </c>
      <c r="G54" s="23">
        <v>0</v>
      </c>
      <c r="H54" s="23">
        <v>7500</v>
      </c>
      <c r="I54" s="11">
        <v>0</v>
      </c>
      <c r="J54" s="11">
        <v>0</v>
      </c>
      <c r="K54" s="11">
        <v>8785</v>
      </c>
      <c r="L54" s="11">
        <v>0</v>
      </c>
      <c r="M54" s="27">
        <f t="shared" si="10"/>
        <v>8785</v>
      </c>
      <c r="N54" s="27">
        <v>0</v>
      </c>
      <c r="O54" s="366">
        <f t="shared" si="0"/>
        <v>0.0003133047491935746</v>
      </c>
    </row>
    <row r="55" spans="1:15" ht="0.75" customHeight="1">
      <c r="A55" s="26"/>
      <c r="B55" s="21" t="s">
        <v>59</v>
      </c>
      <c r="C55" s="14" t="s">
        <v>594</v>
      </c>
      <c r="D55" s="11">
        <v>520000</v>
      </c>
      <c r="E55" s="23">
        <v>0</v>
      </c>
      <c r="F55" s="23"/>
      <c r="G55" s="23"/>
      <c r="H55" s="23">
        <v>2700</v>
      </c>
      <c r="I55" s="11">
        <v>0</v>
      </c>
      <c r="J55" s="11">
        <v>0</v>
      </c>
      <c r="K55" s="11">
        <v>0</v>
      </c>
      <c r="L55" s="11">
        <v>0</v>
      </c>
      <c r="M55" s="27">
        <f t="shared" si="10"/>
        <v>0</v>
      </c>
      <c r="N55" s="27">
        <v>0</v>
      </c>
      <c r="O55" s="366">
        <f t="shared" si="0"/>
        <v>0</v>
      </c>
    </row>
    <row r="56" spans="1:15" ht="15" customHeight="1">
      <c r="A56" s="26"/>
      <c r="B56" s="21" t="s">
        <v>760</v>
      </c>
      <c r="C56" s="14" t="s">
        <v>761</v>
      </c>
      <c r="D56" s="11"/>
      <c r="E56" s="23">
        <v>132020</v>
      </c>
      <c r="F56" s="23">
        <v>700000</v>
      </c>
      <c r="G56" s="23">
        <v>0</v>
      </c>
      <c r="H56" s="23">
        <v>2525825</v>
      </c>
      <c r="I56" s="11">
        <v>0</v>
      </c>
      <c r="J56" s="11">
        <v>0</v>
      </c>
      <c r="K56" s="11">
        <v>195000</v>
      </c>
      <c r="L56" s="11">
        <v>0</v>
      </c>
      <c r="M56" s="27">
        <f t="shared" si="10"/>
        <v>195000</v>
      </c>
      <c r="N56" s="27">
        <v>0</v>
      </c>
      <c r="O56" s="366">
        <f t="shared" si="0"/>
        <v>0.0069544025148260726</v>
      </c>
    </row>
    <row r="57" spans="1:15" ht="22.5" customHeight="1" hidden="1">
      <c r="A57" s="26" t="s">
        <v>631</v>
      </c>
      <c r="B57" s="21"/>
      <c r="C57" s="14"/>
      <c r="D57" s="11"/>
      <c r="E57" s="23">
        <v>0</v>
      </c>
      <c r="F57" s="23">
        <v>100000</v>
      </c>
      <c r="G57" s="23">
        <v>0</v>
      </c>
      <c r="H57" s="23">
        <v>0</v>
      </c>
      <c r="I57" s="11">
        <v>0</v>
      </c>
      <c r="J57" s="11">
        <v>0</v>
      </c>
      <c r="K57" s="11"/>
      <c r="L57" s="11">
        <v>0</v>
      </c>
      <c r="M57" s="24">
        <v>0</v>
      </c>
      <c r="N57" s="27" t="e">
        <f>#REF!</f>
        <v>#REF!</v>
      </c>
      <c r="O57" s="366">
        <f t="shared" si="0"/>
        <v>0</v>
      </c>
    </row>
    <row r="58" spans="1:15" ht="23.25" customHeight="1" hidden="1">
      <c r="A58" s="26"/>
      <c r="B58" s="21" t="s">
        <v>762</v>
      </c>
      <c r="C58" s="14"/>
      <c r="D58" s="11">
        <v>0</v>
      </c>
      <c r="E58" s="23">
        <v>60000</v>
      </c>
      <c r="F58" s="23">
        <v>0</v>
      </c>
      <c r="G58" s="23">
        <v>3758</v>
      </c>
      <c r="H58" s="23"/>
      <c r="I58" s="11">
        <v>0</v>
      </c>
      <c r="J58" s="11">
        <v>0</v>
      </c>
      <c r="K58" s="11"/>
      <c r="L58" s="11"/>
      <c r="M58" s="24"/>
      <c r="N58" s="27"/>
      <c r="O58" s="366">
        <f t="shared" si="0"/>
        <v>0</v>
      </c>
    </row>
    <row r="59" spans="1:15" ht="27.75" customHeight="1" hidden="1">
      <c r="A59" s="26"/>
      <c r="B59" s="21" t="s">
        <v>763</v>
      </c>
      <c r="C59" s="14"/>
      <c r="D59" s="11"/>
      <c r="E59" s="23">
        <v>410722</v>
      </c>
      <c r="F59" s="23">
        <v>0</v>
      </c>
      <c r="G59" s="23">
        <v>0</v>
      </c>
      <c r="H59" s="23">
        <v>0</v>
      </c>
      <c r="I59" s="11">
        <v>0</v>
      </c>
      <c r="J59" s="11">
        <v>0</v>
      </c>
      <c r="K59" s="11"/>
      <c r="L59" s="11">
        <v>0</v>
      </c>
      <c r="M59" s="24">
        <v>0</v>
      </c>
      <c r="N59" s="27" t="e">
        <f>#REF!</f>
        <v>#REF!</v>
      </c>
      <c r="O59" s="366">
        <f t="shared" si="0"/>
        <v>0</v>
      </c>
    </row>
    <row r="60" spans="1:15" ht="15" customHeight="1">
      <c r="A60" s="26"/>
      <c r="B60" s="21" t="s">
        <v>257</v>
      </c>
      <c r="C60" s="14" t="s">
        <v>188</v>
      </c>
      <c r="D60" s="11"/>
      <c r="E60" s="23"/>
      <c r="F60" s="23"/>
      <c r="G60" s="23"/>
      <c r="H60" s="23"/>
      <c r="I60" s="11"/>
      <c r="J60" s="11"/>
      <c r="K60" s="11">
        <v>0</v>
      </c>
      <c r="L60" s="11">
        <v>0</v>
      </c>
      <c r="M60" s="24">
        <f>K60</f>
        <v>0</v>
      </c>
      <c r="N60" s="27">
        <v>0</v>
      </c>
      <c r="O60" s="366">
        <f>K60/$K$606</f>
        <v>0</v>
      </c>
    </row>
    <row r="61" spans="1:15" ht="15" customHeight="1">
      <c r="A61" s="26"/>
      <c r="B61" s="21" t="s">
        <v>274</v>
      </c>
      <c r="C61" s="14" t="s">
        <v>188</v>
      </c>
      <c r="D61" s="11"/>
      <c r="E61" s="23"/>
      <c r="F61" s="23"/>
      <c r="G61" s="23"/>
      <c r="H61" s="23"/>
      <c r="I61" s="11"/>
      <c r="J61" s="11"/>
      <c r="K61" s="11">
        <v>2897984</v>
      </c>
      <c r="L61" s="11">
        <v>0</v>
      </c>
      <c r="M61" s="24">
        <f>K61</f>
        <v>2897984</v>
      </c>
      <c r="N61" s="27">
        <v>0</v>
      </c>
      <c r="O61" s="366">
        <f>K61/$K$606</f>
        <v>0.10335254983346524</v>
      </c>
    </row>
    <row r="62" spans="1:15" ht="15.75" customHeight="1">
      <c r="A62" s="26"/>
      <c r="B62" s="21" t="s">
        <v>617</v>
      </c>
      <c r="C62" s="14" t="s">
        <v>618</v>
      </c>
      <c r="D62" s="11"/>
      <c r="E62" s="23"/>
      <c r="F62" s="23"/>
      <c r="G62" s="23"/>
      <c r="H62" s="23">
        <v>30892</v>
      </c>
      <c r="I62" s="11">
        <v>0</v>
      </c>
      <c r="J62" s="11">
        <v>0</v>
      </c>
      <c r="K62" s="11">
        <v>0</v>
      </c>
      <c r="L62" s="11">
        <v>0</v>
      </c>
      <c r="M62" s="24">
        <v>0</v>
      </c>
      <c r="N62" s="27">
        <f>K62</f>
        <v>0</v>
      </c>
      <c r="O62" s="366">
        <f t="shared" si="0"/>
        <v>0</v>
      </c>
    </row>
    <row r="63" spans="1:15" ht="15" customHeight="1">
      <c r="A63" s="26"/>
      <c r="B63" s="21" t="s">
        <v>783</v>
      </c>
      <c r="C63" s="14" t="s">
        <v>784</v>
      </c>
      <c r="D63" s="11"/>
      <c r="E63" s="23"/>
      <c r="F63" s="23"/>
      <c r="G63" s="23"/>
      <c r="H63" s="23">
        <v>40000</v>
      </c>
      <c r="I63" s="11">
        <v>0</v>
      </c>
      <c r="J63" s="11">
        <v>0</v>
      </c>
      <c r="K63" s="11">
        <v>50000</v>
      </c>
      <c r="L63" s="11">
        <v>0</v>
      </c>
      <c r="M63" s="24">
        <v>0</v>
      </c>
      <c r="N63" s="27">
        <f>K63</f>
        <v>50000</v>
      </c>
      <c r="O63" s="366">
        <f t="shared" si="0"/>
        <v>0.0017831801320066854</v>
      </c>
    </row>
    <row r="64" spans="1:15" ht="12" customHeight="1" hidden="1">
      <c r="A64" s="29" t="s">
        <v>631</v>
      </c>
      <c r="B64" s="30"/>
      <c r="C64" s="7" t="s">
        <v>632</v>
      </c>
      <c r="D64" s="10"/>
      <c r="E64" s="10"/>
      <c r="F64" s="10"/>
      <c r="G64" s="10"/>
      <c r="H64" s="10">
        <f aca="true" t="shared" si="11" ref="H64:J65">H65</f>
        <v>44390</v>
      </c>
      <c r="I64" s="10">
        <f t="shared" si="11"/>
        <v>0</v>
      </c>
      <c r="J64" s="10">
        <f t="shared" si="11"/>
        <v>0</v>
      </c>
      <c r="K64" s="10">
        <f aca="true" t="shared" si="12" ref="K64:N65">K65</f>
        <v>0</v>
      </c>
      <c r="L64" s="10">
        <f t="shared" si="12"/>
        <v>0</v>
      </c>
      <c r="M64" s="10">
        <f t="shared" si="12"/>
        <v>0</v>
      </c>
      <c r="N64" s="10">
        <f t="shared" si="12"/>
        <v>0</v>
      </c>
      <c r="O64" s="366">
        <f t="shared" si="0"/>
        <v>0</v>
      </c>
    </row>
    <row r="65" spans="1:15" ht="0.75" customHeight="1" hidden="1">
      <c r="A65" s="29" t="s">
        <v>633</v>
      </c>
      <c r="B65" s="30"/>
      <c r="C65" s="7" t="s">
        <v>630</v>
      </c>
      <c r="D65" s="10"/>
      <c r="E65" s="10"/>
      <c r="F65" s="10"/>
      <c r="G65" s="10"/>
      <c r="H65" s="10">
        <f t="shared" si="11"/>
        <v>44390</v>
      </c>
      <c r="I65" s="10">
        <v>0</v>
      </c>
      <c r="J65" s="10">
        <v>0</v>
      </c>
      <c r="K65" s="10">
        <f>K66</f>
        <v>0</v>
      </c>
      <c r="L65" s="10">
        <f t="shared" si="12"/>
        <v>0</v>
      </c>
      <c r="M65" s="10">
        <f t="shared" si="12"/>
        <v>0</v>
      </c>
      <c r="N65" s="10">
        <f t="shared" si="12"/>
        <v>0</v>
      </c>
      <c r="O65" s="366">
        <f t="shared" si="0"/>
        <v>0</v>
      </c>
    </row>
    <row r="66" spans="1:15" ht="0.75" customHeight="1">
      <c r="A66" s="26"/>
      <c r="B66" s="21" t="s">
        <v>763</v>
      </c>
      <c r="C66" s="14" t="s">
        <v>634</v>
      </c>
      <c r="D66" s="11"/>
      <c r="E66" s="23"/>
      <c r="F66" s="23"/>
      <c r="G66" s="23"/>
      <c r="H66" s="23">
        <v>44390</v>
      </c>
      <c r="I66" s="23">
        <v>0</v>
      </c>
      <c r="J66" s="23">
        <v>0</v>
      </c>
      <c r="K66" s="11">
        <v>0</v>
      </c>
      <c r="L66" s="11">
        <v>0</v>
      </c>
      <c r="M66" s="24">
        <v>0</v>
      </c>
      <c r="N66" s="27">
        <f>K66</f>
        <v>0</v>
      </c>
      <c r="O66" s="366">
        <f t="shared" si="0"/>
        <v>0</v>
      </c>
    </row>
    <row r="67" spans="1:15" ht="22.5" customHeight="1">
      <c r="A67" s="20" t="s">
        <v>764</v>
      </c>
      <c r="B67" s="30"/>
      <c r="C67" s="294" t="s">
        <v>765</v>
      </c>
      <c r="D67" s="10">
        <f aca="true" t="shared" si="13" ref="D67:N67">D68</f>
        <v>15000</v>
      </c>
      <c r="E67" s="10">
        <f t="shared" si="13"/>
        <v>37000</v>
      </c>
      <c r="F67" s="10">
        <f t="shared" si="13"/>
        <v>3693</v>
      </c>
      <c r="G67" s="10">
        <f t="shared" si="13"/>
        <v>3693</v>
      </c>
      <c r="H67" s="10">
        <f>H68</f>
        <v>87539</v>
      </c>
      <c r="I67" s="10">
        <f>I68</f>
        <v>0</v>
      </c>
      <c r="J67" s="10">
        <f>J68</f>
        <v>0</v>
      </c>
      <c r="K67" s="10">
        <f>K68</f>
        <v>126683</v>
      </c>
      <c r="L67" s="10">
        <f t="shared" si="13"/>
        <v>55000</v>
      </c>
      <c r="M67" s="10">
        <f t="shared" si="13"/>
        <v>71683</v>
      </c>
      <c r="N67" s="22">
        <f t="shared" si="13"/>
        <v>0</v>
      </c>
      <c r="O67" s="366">
        <f t="shared" si="0"/>
        <v>0.0045179721732600585</v>
      </c>
    </row>
    <row r="68" spans="1:15" ht="15.75" customHeight="1">
      <c r="A68" s="20" t="s">
        <v>766</v>
      </c>
      <c r="B68" s="21"/>
      <c r="C68" s="7" t="s">
        <v>767</v>
      </c>
      <c r="D68" s="10">
        <f>D71</f>
        <v>15000</v>
      </c>
      <c r="E68" s="10">
        <f>E71+E70</f>
        <v>37000</v>
      </c>
      <c r="F68" s="10">
        <f>F71+F70</f>
        <v>3693</v>
      </c>
      <c r="G68" s="10">
        <f>G71+G70</f>
        <v>3693</v>
      </c>
      <c r="H68" s="10">
        <f>H70+H71+H72+H74+H75+H69+H73</f>
        <v>87539</v>
      </c>
      <c r="I68" s="10">
        <f>I70+I71+I72+I74+I75+I69+I73</f>
        <v>0</v>
      </c>
      <c r="J68" s="10">
        <f>J70+J71+J72+J74+J75+J69+J73</f>
        <v>0</v>
      </c>
      <c r="K68" s="10">
        <f>K70+K71+K72+K74+K75+K73+K76</f>
        <v>126683</v>
      </c>
      <c r="L68" s="10">
        <f>L70+L71+L72+L74+L75+L73+L76</f>
        <v>55000</v>
      </c>
      <c r="M68" s="10">
        <f>M70+M71+M72+M74+M75+M73+M76</f>
        <v>71683</v>
      </c>
      <c r="N68" s="10">
        <f>N70+N71+N72+N74+N75+N73+N76</f>
        <v>0</v>
      </c>
      <c r="O68" s="366">
        <f t="shared" si="0"/>
        <v>0.0045179721732600585</v>
      </c>
    </row>
    <row r="69" spans="1:15" ht="16.5" customHeight="1" hidden="1">
      <c r="A69" s="20"/>
      <c r="B69" s="21" t="s">
        <v>730</v>
      </c>
      <c r="C69" s="32" t="s">
        <v>731</v>
      </c>
      <c r="D69" s="23"/>
      <c r="E69" s="23"/>
      <c r="F69" s="23"/>
      <c r="G69" s="23"/>
      <c r="H69" s="23">
        <v>3005</v>
      </c>
      <c r="I69" s="23">
        <v>0</v>
      </c>
      <c r="J69" s="23">
        <v>0</v>
      </c>
      <c r="K69" s="23">
        <v>0</v>
      </c>
      <c r="L69" s="23">
        <v>0</v>
      </c>
      <c r="M69" s="23">
        <f>K69-L69</f>
        <v>0</v>
      </c>
      <c r="N69" s="10">
        <v>0</v>
      </c>
      <c r="O69" s="366">
        <f t="shared" si="0"/>
        <v>0</v>
      </c>
    </row>
    <row r="70" spans="1:15" ht="13.5" customHeight="1">
      <c r="A70" s="20"/>
      <c r="B70" s="21" t="s">
        <v>732</v>
      </c>
      <c r="C70" s="32" t="s">
        <v>733</v>
      </c>
      <c r="D70" s="23"/>
      <c r="E70" s="23">
        <v>20000</v>
      </c>
      <c r="F70" s="23">
        <v>3693</v>
      </c>
      <c r="G70" s="23">
        <v>0</v>
      </c>
      <c r="H70" s="23">
        <v>10601</v>
      </c>
      <c r="I70" s="23">
        <v>0</v>
      </c>
      <c r="J70" s="23">
        <v>0</v>
      </c>
      <c r="K70" s="11">
        <v>3365</v>
      </c>
      <c r="L70" s="23">
        <v>3365</v>
      </c>
      <c r="M70" s="23">
        <f aca="true" t="shared" si="14" ref="M70:M75">K70-L70</f>
        <v>0</v>
      </c>
      <c r="N70" s="24">
        <v>0</v>
      </c>
      <c r="O70" s="366">
        <f t="shared" si="0"/>
        <v>0.00012000802288404993</v>
      </c>
    </row>
    <row r="71" spans="1:15" ht="13.5" customHeight="1">
      <c r="A71" s="31"/>
      <c r="B71" s="21" t="s">
        <v>736</v>
      </c>
      <c r="C71" s="32" t="s">
        <v>737</v>
      </c>
      <c r="D71" s="11">
        <v>15000</v>
      </c>
      <c r="E71" s="23">
        <v>17000</v>
      </c>
      <c r="F71" s="23">
        <v>0</v>
      </c>
      <c r="G71" s="23">
        <v>3693</v>
      </c>
      <c r="H71" s="23">
        <v>65521</v>
      </c>
      <c r="I71" s="23">
        <v>0</v>
      </c>
      <c r="J71" s="23">
        <v>0</v>
      </c>
      <c r="K71" s="11">
        <v>45828</v>
      </c>
      <c r="L71" s="23">
        <v>35960</v>
      </c>
      <c r="M71" s="23">
        <f t="shared" si="14"/>
        <v>9868</v>
      </c>
      <c r="N71" s="27">
        <v>0</v>
      </c>
      <c r="O71" s="366">
        <f t="shared" si="0"/>
        <v>0.0016343915817920475</v>
      </c>
    </row>
    <row r="72" spans="1:15" ht="12.75" customHeight="1">
      <c r="A72" s="31"/>
      <c r="B72" s="21" t="s">
        <v>740</v>
      </c>
      <c r="C72" s="32" t="s">
        <v>741</v>
      </c>
      <c r="D72" s="11"/>
      <c r="E72" s="23"/>
      <c r="F72" s="23"/>
      <c r="G72" s="23"/>
      <c r="H72" s="23">
        <v>1357</v>
      </c>
      <c r="I72" s="23">
        <v>0</v>
      </c>
      <c r="J72" s="23">
        <v>0</v>
      </c>
      <c r="K72" s="11">
        <v>55000</v>
      </c>
      <c r="L72" s="23">
        <v>0</v>
      </c>
      <c r="M72" s="23">
        <f t="shared" si="14"/>
        <v>55000</v>
      </c>
      <c r="N72" s="27">
        <v>0</v>
      </c>
      <c r="O72" s="366">
        <f t="shared" si="0"/>
        <v>0.001961498145207354</v>
      </c>
    </row>
    <row r="73" spans="1:15" ht="12.75" customHeight="1">
      <c r="A73" s="31"/>
      <c r="B73" s="21" t="s">
        <v>758</v>
      </c>
      <c r="C73" s="32" t="s">
        <v>759</v>
      </c>
      <c r="D73" s="11"/>
      <c r="E73" s="23"/>
      <c r="F73" s="23"/>
      <c r="G73" s="23"/>
      <c r="H73" s="23">
        <v>55</v>
      </c>
      <c r="I73" s="23">
        <v>0</v>
      </c>
      <c r="J73" s="23">
        <v>0</v>
      </c>
      <c r="K73" s="11">
        <v>15440</v>
      </c>
      <c r="L73" s="23">
        <v>13797</v>
      </c>
      <c r="M73" s="23">
        <f t="shared" si="14"/>
        <v>1643</v>
      </c>
      <c r="N73" s="27"/>
      <c r="O73" s="366">
        <f t="shared" si="0"/>
        <v>0.0005506460247636644</v>
      </c>
    </row>
    <row r="74" spans="1:15" ht="12" customHeight="1">
      <c r="A74" s="31"/>
      <c r="B74" s="21" t="s">
        <v>799</v>
      </c>
      <c r="C74" s="32" t="s">
        <v>806</v>
      </c>
      <c r="D74" s="11"/>
      <c r="E74" s="23"/>
      <c r="F74" s="23"/>
      <c r="G74" s="23"/>
      <c r="H74" s="23">
        <v>213</v>
      </c>
      <c r="I74" s="23">
        <v>0</v>
      </c>
      <c r="J74" s="23">
        <v>0</v>
      </c>
      <c r="K74" s="11">
        <v>1878</v>
      </c>
      <c r="L74" s="23">
        <v>1878</v>
      </c>
      <c r="M74" s="23">
        <f t="shared" si="14"/>
        <v>0</v>
      </c>
      <c r="N74" s="27">
        <v>0</v>
      </c>
      <c r="O74" s="366">
        <f t="shared" si="0"/>
        <v>6.69762457581711E-05</v>
      </c>
    </row>
    <row r="75" spans="1:15" ht="13.5" customHeight="1">
      <c r="A75" s="31"/>
      <c r="B75" s="21" t="s">
        <v>830</v>
      </c>
      <c r="C75" s="32" t="s">
        <v>268</v>
      </c>
      <c r="D75" s="11"/>
      <c r="E75" s="23"/>
      <c r="F75" s="23"/>
      <c r="G75" s="23"/>
      <c r="H75" s="23">
        <v>6787</v>
      </c>
      <c r="I75" s="23">
        <v>0</v>
      </c>
      <c r="J75" s="23">
        <v>0</v>
      </c>
      <c r="K75" s="11">
        <v>5172</v>
      </c>
      <c r="L75" s="23">
        <v>0</v>
      </c>
      <c r="M75" s="23">
        <f t="shared" si="14"/>
        <v>5172</v>
      </c>
      <c r="N75" s="27">
        <v>0</v>
      </c>
      <c r="O75" s="366">
        <f t="shared" si="0"/>
        <v>0.00018445215285477153</v>
      </c>
    </row>
    <row r="76" spans="1:15" ht="12.75" customHeight="1">
      <c r="A76" s="31"/>
      <c r="B76" s="21" t="s">
        <v>619</v>
      </c>
      <c r="C76" s="32" t="s">
        <v>620</v>
      </c>
      <c r="D76" s="11"/>
      <c r="E76" s="23"/>
      <c r="F76" s="23"/>
      <c r="G76" s="23"/>
      <c r="H76" s="23"/>
      <c r="I76" s="23"/>
      <c r="J76" s="23"/>
      <c r="K76" s="11">
        <v>0</v>
      </c>
      <c r="L76" s="23"/>
      <c r="M76" s="23"/>
      <c r="N76" s="27"/>
      <c r="O76" s="366">
        <f>K76/$K$606</f>
        <v>0</v>
      </c>
    </row>
    <row r="77" spans="1:15" ht="15" customHeight="1">
      <c r="A77" s="20" t="s">
        <v>769</v>
      </c>
      <c r="B77" s="30"/>
      <c r="C77" s="7" t="s">
        <v>770</v>
      </c>
      <c r="D77" s="10">
        <f aca="true" t="shared" si="15" ref="D77:N77">D78+D80+D82</f>
        <v>170602</v>
      </c>
      <c r="E77" s="10">
        <f t="shared" si="15"/>
        <v>139020</v>
      </c>
      <c r="F77" s="10">
        <f t="shared" si="15"/>
        <v>0</v>
      </c>
      <c r="G77" s="10">
        <f t="shared" si="15"/>
        <v>0</v>
      </c>
      <c r="H77" s="10">
        <f>H78+H80+H82</f>
        <v>137866</v>
      </c>
      <c r="I77" s="10">
        <f>I78+I80+I82</f>
        <v>0</v>
      </c>
      <c r="J77" s="10">
        <f>J78+J80+J82</f>
        <v>0</v>
      </c>
      <c r="K77" s="10">
        <f>K78+K80+K82</f>
        <v>202852</v>
      </c>
      <c r="L77" s="10">
        <f t="shared" si="15"/>
        <v>202852</v>
      </c>
      <c r="M77" s="22">
        <f t="shared" si="15"/>
        <v>0</v>
      </c>
      <c r="N77" s="22">
        <f t="shared" si="15"/>
        <v>0</v>
      </c>
      <c r="O77" s="366">
        <f t="shared" si="0"/>
        <v>0.0072344331227564024</v>
      </c>
    </row>
    <row r="78" spans="1:15" ht="14.25" customHeight="1">
      <c r="A78" s="20" t="s">
        <v>771</v>
      </c>
      <c r="B78" s="30"/>
      <c r="C78" s="7" t="s">
        <v>175</v>
      </c>
      <c r="D78" s="10">
        <f aca="true" t="shared" si="16" ref="D78:N78">D79</f>
        <v>79900</v>
      </c>
      <c r="E78" s="10">
        <f t="shared" si="16"/>
        <v>52100</v>
      </c>
      <c r="F78" s="10">
        <f t="shared" si="16"/>
        <v>0</v>
      </c>
      <c r="G78" s="10">
        <f t="shared" si="16"/>
        <v>0</v>
      </c>
      <c r="H78" s="10">
        <f t="shared" si="16"/>
        <v>52000</v>
      </c>
      <c r="I78" s="10">
        <f t="shared" si="16"/>
        <v>0</v>
      </c>
      <c r="J78" s="10">
        <f t="shared" si="16"/>
        <v>0</v>
      </c>
      <c r="K78" s="10">
        <f t="shared" si="16"/>
        <v>42000</v>
      </c>
      <c r="L78" s="10">
        <f t="shared" si="16"/>
        <v>42000</v>
      </c>
      <c r="M78" s="22">
        <f t="shared" si="16"/>
        <v>0</v>
      </c>
      <c r="N78" s="22">
        <f t="shared" si="16"/>
        <v>0</v>
      </c>
      <c r="O78" s="366">
        <f t="shared" si="0"/>
        <v>0.0014978713108856157</v>
      </c>
    </row>
    <row r="79" spans="1:15" ht="12.75" customHeight="1">
      <c r="A79" s="31"/>
      <c r="B79" s="21" t="s">
        <v>736</v>
      </c>
      <c r="C79" s="32" t="s">
        <v>737</v>
      </c>
      <c r="D79" s="11">
        <v>79900</v>
      </c>
      <c r="E79" s="23">
        <v>52100</v>
      </c>
      <c r="F79" s="23">
        <v>0</v>
      </c>
      <c r="G79" s="23">
        <v>0</v>
      </c>
      <c r="H79" s="23">
        <v>52000</v>
      </c>
      <c r="I79" s="23">
        <v>0</v>
      </c>
      <c r="J79" s="23">
        <v>0</v>
      </c>
      <c r="K79" s="11">
        <v>42000</v>
      </c>
      <c r="L79" s="23">
        <f>K79</f>
        <v>42000</v>
      </c>
      <c r="M79" s="27">
        <v>0</v>
      </c>
      <c r="N79" s="27">
        <v>0</v>
      </c>
      <c r="O79" s="366">
        <f aca="true" t="shared" si="17" ref="O79:O114">K79/$K$606</f>
        <v>0.0014978713108856157</v>
      </c>
    </row>
    <row r="80" spans="1:15" ht="15" customHeight="1">
      <c r="A80" s="20" t="s">
        <v>773</v>
      </c>
      <c r="B80" s="30"/>
      <c r="C80" s="7" t="s">
        <v>651</v>
      </c>
      <c r="D80" s="10">
        <f aca="true" t="shared" si="18" ref="D80:N80">D81</f>
        <v>20000</v>
      </c>
      <c r="E80" s="10">
        <f t="shared" si="18"/>
        <v>8000</v>
      </c>
      <c r="F80" s="10">
        <f t="shared" si="18"/>
        <v>0</v>
      </c>
      <c r="G80" s="10">
        <f t="shared" si="18"/>
        <v>0</v>
      </c>
      <c r="H80" s="10">
        <f t="shared" si="18"/>
        <v>4000</v>
      </c>
      <c r="I80" s="10">
        <f t="shared" si="18"/>
        <v>0</v>
      </c>
      <c r="J80" s="10">
        <f t="shared" si="18"/>
        <v>0</v>
      </c>
      <c r="K80" s="10">
        <f t="shared" si="18"/>
        <v>8000</v>
      </c>
      <c r="L80" s="10">
        <f t="shared" si="18"/>
        <v>8000</v>
      </c>
      <c r="M80" s="22">
        <f t="shared" si="18"/>
        <v>0</v>
      </c>
      <c r="N80" s="22">
        <f t="shared" si="18"/>
        <v>0</v>
      </c>
      <c r="O80" s="366">
        <f t="shared" si="17"/>
        <v>0.00028530882112106964</v>
      </c>
    </row>
    <row r="81" spans="1:15" ht="13.5" customHeight="1">
      <c r="A81" s="31"/>
      <c r="B81" s="21" t="s">
        <v>736</v>
      </c>
      <c r="C81" s="32" t="s">
        <v>737</v>
      </c>
      <c r="D81" s="11">
        <v>20000</v>
      </c>
      <c r="E81" s="23">
        <v>8000</v>
      </c>
      <c r="F81" s="23">
        <v>0</v>
      </c>
      <c r="G81" s="23">
        <v>0</v>
      </c>
      <c r="H81" s="23">
        <v>4000</v>
      </c>
      <c r="I81" s="23">
        <v>0</v>
      </c>
      <c r="J81" s="23">
        <v>0</v>
      </c>
      <c r="K81" s="11">
        <v>8000</v>
      </c>
      <c r="L81" s="23">
        <f>K81</f>
        <v>8000</v>
      </c>
      <c r="M81" s="27">
        <v>0</v>
      </c>
      <c r="N81" s="27">
        <v>0</v>
      </c>
      <c r="O81" s="366">
        <f t="shared" si="17"/>
        <v>0.00028530882112106964</v>
      </c>
    </row>
    <row r="82" spans="1:15" ht="15.75" customHeight="1">
      <c r="A82" s="20" t="s">
        <v>775</v>
      </c>
      <c r="B82" s="30"/>
      <c r="C82" s="7" t="s">
        <v>776</v>
      </c>
      <c r="D82" s="10">
        <f>D83+D85+D86+D88</f>
        <v>70702</v>
      </c>
      <c r="E82" s="10">
        <f>E83+E85+E86+E87+E88+E89+E90+E91+E93</f>
        <v>78920</v>
      </c>
      <c r="F82" s="10">
        <f>F83+F85+F86+F87+F88+F89+F90+F91+F93</f>
        <v>0</v>
      </c>
      <c r="G82" s="10">
        <f>G83+G85+G86+G87+G88+G89+G90+G91+G93</f>
        <v>0</v>
      </c>
      <c r="H82" s="10">
        <f>H83+H85+H86+H87+H88+H89+H90+H91+H93+H84</f>
        <v>81866</v>
      </c>
      <c r="I82" s="10">
        <f>I83+I85+I86+I87+I88+I89+I90+I91+I93+I84</f>
        <v>0</v>
      </c>
      <c r="J82" s="10">
        <f>J83+J85+J86+J87+J88+J89+J90+J91+J93+J84</f>
        <v>0</v>
      </c>
      <c r="K82" s="10">
        <f>K83+K85+K86+K87+K88+K89+K90+K91+K92+K93+K84+K94</f>
        <v>152852</v>
      </c>
      <c r="L82" s="10">
        <f>L83+L85+L86+L87+L88+L89+L90+L91+L92+L93+L84+L94</f>
        <v>152852</v>
      </c>
      <c r="M82" s="10">
        <f>M83+M85+M86+M87+M88+M89+M90+M91+M92+M93+M84+M94</f>
        <v>0</v>
      </c>
      <c r="N82" s="10">
        <f>N83+N85+N86+N87+N88+N89+N90+N91+N92+N93+N84+N94</f>
        <v>0</v>
      </c>
      <c r="O82" s="366">
        <f t="shared" si="17"/>
        <v>0.005451252990749718</v>
      </c>
    </row>
    <row r="83" spans="1:15" ht="12" customHeight="1">
      <c r="A83" s="31"/>
      <c r="B83" s="21" t="s">
        <v>720</v>
      </c>
      <c r="C83" s="32" t="s">
        <v>585</v>
      </c>
      <c r="D83" s="11">
        <v>49324</v>
      </c>
      <c r="E83" s="23">
        <v>53163</v>
      </c>
      <c r="F83" s="23">
        <v>0</v>
      </c>
      <c r="G83" s="23">
        <v>0</v>
      </c>
      <c r="H83" s="23">
        <v>34560</v>
      </c>
      <c r="I83" s="23">
        <v>0</v>
      </c>
      <c r="J83" s="23">
        <v>0</v>
      </c>
      <c r="K83" s="11">
        <v>45980</v>
      </c>
      <c r="L83" s="23">
        <f>K83</f>
        <v>45980</v>
      </c>
      <c r="M83" s="27">
        <v>0</v>
      </c>
      <c r="N83" s="27">
        <v>0</v>
      </c>
      <c r="O83" s="366">
        <f t="shared" si="17"/>
        <v>0.0016398124493933479</v>
      </c>
    </row>
    <row r="84" spans="1:15" ht="14.25" customHeight="1">
      <c r="A84" s="31"/>
      <c r="B84" s="21" t="s">
        <v>722</v>
      </c>
      <c r="C84" s="14" t="s">
        <v>586</v>
      </c>
      <c r="D84" s="11"/>
      <c r="E84" s="23"/>
      <c r="F84" s="23"/>
      <c r="G84" s="23"/>
      <c r="H84" s="23">
        <v>22800</v>
      </c>
      <c r="I84" s="23">
        <v>0</v>
      </c>
      <c r="J84" s="23">
        <v>0</v>
      </c>
      <c r="K84" s="11">
        <v>60940</v>
      </c>
      <c r="L84" s="23">
        <f aca="true" t="shared" si="19" ref="L84:L94">K84</f>
        <v>60940</v>
      </c>
      <c r="M84" s="27">
        <v>0</v>
      </c>
      <c r="N84" s="27">
        <v>0</v>
      </c>
      <c r="O84" s="366">
        <f t="shared" si="17"/>
        <v>0.0021733399448897483</v>
      </c>
    </row>
    <row r="85" spans="1:15" ht="14.25" customHeight="1">
      <c r="A85" s="31"/>
      <c r="B85" s="21" t="s">
        <v>724</v>
      </c>
      <c r="C85" s="32" t="s">
        <v>725</v>
      </c>
      <c r="D85" s="11">
        <v>2600</v>
      </c>
      <c r="E85" s="23">
        <v>4103</v>
      </c>
      <c r="F85" s="23">
        <v>0</v>
      </c>
      <c r="G85" s="23">
        <v>0</v>
      </c>
      <c r="H85" s="23">
        <v>4508</v>
      </c>
      <c r="I85" s="23">
        <v>0</v>
      </c>
      <c r="J85" s="23">
        <v>0</v>
      </c>
      <c r="K85" s="11">
        <v>8433</v>
      </c>
      <c r="L85" s="23">
        <f t="shared" si="19"/>
        <v>8433</v>
      </c>
      <c r="M85" s="27">
        <v>0</v>
      </c>
      <c r="N85" s="27">
        <v>0</v>
      </c>
      <c r="O85" s="366">
        <f t="shared" si="17"/>
        <v>0.00030075116106424753</v>
      </c>
    </row>
    <row r="86" spans="1:15" ht="15" customHeight="1">
      <c r="A86" s="31"/>
      <c r="B86" s="28" t="s">
        <v>777</v>
      </c>
      <c r="C86" s="32" t="s">
        <v>754</v>
      </c>
      <c r="D86" s="11">
        <v>10556</v>
      </c>
      <c r="E86" s="23">
        <v>10240</v>
      </c>
      <c r="F86" s="23">
        <v>0</v>
      </c>
      <c r="G86" s="23">
        <v>0</v>
      </c>
      <c r="H86" s="23">
        <v>11254</v>
      </c>
      <c r="I86" s="23">
        <v>0</v>
      </c>
      <c r="J86" s="23">
        <v>0</v>
      </c>
      <c r="K86" s="11">
        <v>20510</v>
      </c>
      <c r="L86" s="23">
        <f t="shared" si="19"/>
        <v>20510</v>
      </c>
      <c r="M86" s="27">
        <v>0</v>
      </c>
      <c r="N86" s="27">
        <v>0</v>
      </c>
      <c r="O86" s="366">
        <f t="shared" si="17"/>
        <v>0.0007314604901491424</v>
      </c>
    </row>
    <row r="87" spans="1:15" ht="14.25" customHeight="1">
      <c r="A87" s="31"/>
      <c r="B87" s="28" t="s">
        <v>728</v>
      </c>
      <c r="C87" s="32" t="s">
        <v>729</v>
      </c>
      <c r="D87" s="11"/>
      <c r="E87" s="23">
        <v>1403</v>
      </c>
      <c r="F87" s="23">
        <v>0</v>
      </c>
      <c r="G87" s="23">
        <v>0</v>
      </c>
      <c r="H87" s="23">
        <v>1516</v>
      </c>
      <c r="I87" s="23">
        <v>0</v>
      </c>
      <c r="J87" s="23">
        <v>0</v>
      </c>
      <c r="K87" s="11">
        <v>2762</v>
      </c>
      <c r="L87" s="23">
        <f t="shared" si="19"/>
        <v>2762</v>
      </c>
      <c r="M87" s="27">
        <v>0</v>
      </c>
      <c r="N87" s="27">
        <v>0</v>
      </c>
      <c r="O87" s="366">
        <f t="shared" si="17"/>
        <v>9.850287049204929E-05</v>
      </c>
    </row>
    <row r="88" spans="1:15" ht="18.75" customHeight="1" hidden="1">
      <c r="A88" s="31"/>
      <c r="B88" s="21"/>
      <c r="C88" s="32" t="s">
        <v>768</v>
      </c>
      <c r="D88" s="11">
        <v>8222</v>
      </c>
      <c r="E88" s="23">
        <v>0</v>
      </c>
      <c r="F88" s="23">
        <v>0</v>
      </c>
      <c r="G88" s="23">
        <v>0</v>
      </c>
      <c r="H88" s="23"/>
      <c r="I88" s="23"/>
      <c r="J88" s="23"/>
      <c r="K88" s="11"/>
      <c r="L88" s="23">
        <f t="shared" si="19"/>
        <v>0</v>
      </c>
      <c r="M88" s="27"/>
      <c r="N88" s="27"/>
      <c r="O88" s="366">
        <f t="shared" si="17"/>
        <v>0</v>
      </c>
    </row>
    <row r="89" spans="1:15" ht="13.5" customHeight="1">
      <c r="A89" s="31"/>
      <c r="B89" s="21" t="s">
        <v>730</v>
      </c>
      <c r="C89" s="32" t="s">
        <v>757</v>
      </c>
      <c r="D89" s="11"/>
      <c r="E89" s="23">
        <v>2270</v>
      </c>
      <c r="F89" s="23">
        <v>0</v>
      </c>
      <c r="G89" s="23">
        <v>0</v>
      </c>
      <c r="H89" s="23">
        <v>300</v>
      </c>
      <c r="I89" s="23">
        <v>0</v>
      </c>
      <c r="J89" s="23">
        <v>0</v>
      </c>
      <c r="K89" s="11">
        <v>2600</v>
      </c>
      <c r="L89" s="23">
        <f t="shared" si="19"/>
        <v>2600</v>
      </c>
      <c r="M89" s="27">
        <v>0</v>
      </c>
      <c r="N89" s="27">
        <v>0</v>
      </c>
      <c r="O89" s="366">
        <f t="shared" si="17"/>
        <v>9.272536686434763E-05</v>
      </c>
    </row>
    <row r="90" spans="1:15" ht="12.75" customHeight="1">
      <c r="A90" s="31"/>
      <c r="B90" s="21" t="s">
        <v>736</v>
      </c>
      <c r="C90" s="32" t="s">
        <v>737</v>
      </c>
      <c r="D90" s="11"/>
      <c r="E90" s="23">
        <v>4000</v>
      </c>
      <c r="F90" s="23">
        <v>0</v>
      </c>
      <c r="G90" s="23">
        <v>0</v>
      </c>
      <c r="H90" s="23">
        <v>3097</v>
      </c>
      <c r="I90" s="23">
        <v>0</v>
      </c>
      <c r="J90" s="23">
        <v>0</v>
      </c>
      <c r="K90" s="11">
        <v>2657</v>
      </c>
      <c r="L90" s="23">
        <f t="shared" si="19"/>
        <v>2657</v>
      </c>
      <c r="M90" s="27">
        <v>0</v>
      </c>
      <c r="N90" s="27">
        <v>0</v>
      </c>
      <c r="O90" s="366">
        <f t="shared" si="17"/>
        <v>9.475819221483527E-05</v>
      </c>
    </row>
    <row r="91" spans="1:15" ht="13.5" customHeight="1">
      <c r="A91" s="31"/>
      <c r="B91" s="21" t="s">
        <v>738</v>
      </c>
      <c r="C91" s="32" t="s">
        <v>739</v>
      </c>
      <c r="D91" s="11"/>
      <c r="E91" s="23">
        <v>2500</v>
      </c>
      <c r="F91" s="23">
        <v>0</v>
      </c>
      <c r="G91" s="23">
        <v>0</v>
      </c>
      <c r="H91" s="23">
        <v>2478</v>
      </c>
      <c r="I91" s="23">
        <v>0</v>
      </c>
      <c r="J91" s="23">
        <v>0</v>
      </c>
      <c r="K91" s="11">
        <v>500</v>
      </c>
      <c r="L91" s="23">
        <f t="shared" si="19"/>
        <v>500</v>
      </c>
      <c r="M91" s="27">
        <v>0</v>
      </c>
      <c r="N91" s="27">
        <v>0</v>
      </c>
      <c r="O91" s="366">
        <f t="shared" si="17"/>
        <v>1.7831801320066853E-05</v>
      </c>
    </row>
    <row r="92" spans="1:15" ht="13.5" customHeight="1">
      <c r="A92" s="31"/>
      <c r="B92" s="21" t="s">
        <v>740</v>
      </c>
      <c r="C92" s="32" t="s">
        <v>741</v>
      </c>
      <c r="D92" s="11"/>
      <c r="E92" s="23"/>
      <c r="F92" s="23"/>
      <c r="G92" s="23"/>
      <c r="H92" s="23"/>
      <c r="I92" s="23"/>
      <c r="J92" s="23"/>
      <c r="K92" s="11">
        <v>2000</v>
      </c>
      <c r="L92" s="23">
        <f>K92</f>
        <v>2000</v>
      </c>
      <c r="M92" s="27">
        <v>0</v>
      </c>
      <c r="N92" s="27">
        <v>0</v>
      </c>
      <c r="O92" s="366">
        <f>K92/$K$606</f>
        <v>7.132720528026741E-05</v>
      </c>
    </row>
    <row r="93" spans="1:15" ht="15" customHeight="1">
      <c r="A93" s="31"/>
      <c r="B93" s="21" t="s">
        <v>742</v>
      </c>
      <c r="C93" s="32" t="s">
        <v>743</v>
      </c>
      <c r="D93" s="11"/>
      <c r="E93" s="23">
        <v>1241</v>
      </c>
      <c r="F93" s="23">
        <v>0</v>
      </c>
      <c r="G93" s="23">
        <v>0</v>
      </c>
      <c r="H93" s="23">
        <v>1353</v>
      </c>
      <c r="I93" s="23">
        <v>0</v>
      </c>
      <c r="J93" s="23">
        <v>0</v>
      </c>
      <c r="K93" s="11">
        <v>2970</v>
      </c>
      <c r="L93" s="23">
        <f t="shared" si="19"/>
        <v>2970</v>
      </c>
      <c r="M93" s="27">
        <v>0</v>
      </c>
      <c r="N93" s="27">
        <v>0</v>
      </c>
      <c r="O93" s="366">
        <f t="shared" si="17"/>
        <v>0.00010592089984119711</v>
      </c>
    </row>
    <row r="94" spans="1:15" ht="15" customHeight="1">
      <c r="A94" s="31"/>
      <c r="B94" s="21" t="s">
        <v>762</v>
      </c>
      <c r="C94" s="32" t="s">
        <v>843</v>
      </c>
      <c r="D94" s="11"/>
      <c r="E94" s="23"/>
      <c r="F94" s="23"/>
      <c r="G94" s="23"/>
      <c r="H94" s="23"/>
      <c r="I94" s="23"/>
      <c r="J94" s="23"/>
      <c r="K94" s="11">
        <v>3500</v>
      </c>
      <c r="L94" s="23">
        <f t="shared" si="19"/>
        <v>3500</v>
      </c>
      <c r="M94" s="27">
        <v>0</v>
      </c>
      <c r="N94" s="27">
        <v>0</v>
      </c>
      <c r="O94" s="366">
        <f t="shared" si="17"/>
        <v>0.00012482260924046796</v>
      </c>
    </row>
    <row r="95" spans="1:15" ht="14.25" customHeight="1">
      <c r="A95" s="20" t="s">
        <v>778</v>
      </c>
      <c r="B95" s="30"/>
      <c r="C95" s="7" t="s">
        <v>779</v>
      </c>
      <c r="D95" s="10">
        <f>D96+D110+D119+D142+D151</f>
        <v>2548542</v>
      </c>
      <c r="E95" s="10" t="e">
        <f>E96+E110+E119+E142+E151</f>
        <v>#REF!</v>
      </c>
      <c r="F95" s="10" t="e">
        <f>F96+F110+F119+F142+F151</f>
        <v>#REF!</v>
      </c>
      <c r="G95" s="10" t="e">
        <f>G96+G110+G119+G142+G151</f>
        <v>#REF!</v>
      </c>
      <c r="H95" s="10" t="e">
        <f>H96+H110+H119+H142+H151+#REF!</f>
        <v>#REF!</v>
      </c>
      <c r="I95" s="10" t="e">
        <f>I96+I110+I119+I142+I151+#REF!</f>
        <v>#REF!</v>
      </c>
      <c r="J95" s="10" t="e">
        <f>J96+J110+J119+J142+J151+#REF!</f>
        <v>#REF!</v>
      </c>
      <c r="K95" s="10">
        <f>K96+K108+K110+K119+K142+K151</f>
        <v>2507061</v>
      </c>
      <c r="L95" s="10">
        <f>L96+L108+L110+L119+L142+L151</f>
        <v>107258</v>
      </c>
      <c r="M95" s="10">
        <f>M96+M108+M110+M119+M142+M151</f>
        <v>2390803</v>
      </c>
      <c r="N95" s="10">
        <f>N96+N108+N110+N119+N142+N151</f>
        <v>9000</v>
      </c>
      <c r="O95" s="366">
        <f t="shared" si="17"/>
        <v>0.08941082729857625</v>
      </c>
    </row>
    <row r="96" spans="1:15" ht="13.5" customHeight="1">
      <c r="A96" s="20" t="s">
        <v>780</v>
      </c>
      <c r="B96" s="30"/>
      <c r="C96" s="7" t="s">
        <v>781</v>
      </c>
      <c r="D96" s="10">
        <f>D97+D98+D99+D101</f>
        <v>120453</v>
      </c>
      <c r="E96" s="10">
        <f>E97+E98+E99+E100+E101+E103</f>
        <v>120857</v>
      </c>
      <c r="F96" s="10">
        <f>F97+F98+F99+F100+F101+F103</f>
        <v>0</v>
      </c>
      <c r="G96" s="10">
        <f>G97+G98+G99+G100+G101+G103</f>
        <v>0</v>
      </c>
      <c r="H96" s="10">
        <f>H97+H98+H99+H100+H101+H103+H104+H105+H106+H107</f>
        <v>89799</v>
      </c>
      <c r="I96" s="10">
        <f>I97+I98+I99+I100+I101+I103+I104+I105+I106+I107</f>
        <v>0</v>
      </c>
      <c r="J96" s="10">
        <f>J97+J98+J99+J100+J101+J103+J104+J105+J106+J107</f>
        <v>0</v>
      </c>
      <c r="K96" s="10">
        <f>K97+K98+K99+K100+K101+K102+K103+K104+K105+K106+K107</f>
        <v>94258</v>
      </c>
      <c r="L96" s="10">
        <f>L97+L98+L99+L100+L101+L102+L103+L104+L105+L106+L107</f>
        <v>94258</v>
      </c>
      <c r="M96" s="22">
        <f>M97+M98+M99+M100+M101+M102+M103+M104+M105+M106+M107</f>
        <v>0</v>
      </c>
      <c r="N96" s="22">
        <f>N97+N98+N99+N100+N101+N102+N103+N104+N105+N106+N107</f>
        <v>0</v>
      </c>
      <c r="O96" s="366">
        <f t="shared" si="17"/>
        <v>0.003361579857653723</v>
      </c>
    </row>
    <row r="97" spans="1:15" ht="14.25" customHeight="1">
      <c r="A97" s="31"/>
      <c r="B97" s="21" t="s">
        <v>720</v>
      </c>
      <c r="C97" s="32" t="s">
        <v>585</v>
      </c>
      <c r="D97" s="11">
        <v>90000</v>
      </c>
      <c r="E97" s="23">
        <v>90000</v>
      </c>
      <c r="F97" s="23">
        <v>0</v>
      </c>
      <c r="G97" s="23">
        <v>0</v>
      </c>
      <c r="H97" s="23">
        <v>51600</v>
      </c>
      <c r="I97" s="23">
        <v>0</v>
      </c>
      <c r="J97" s="23">
        <v>0</v>
      </c>
      <c r="K97" s="11">
        <v>55440</v>
      </c>
      <c r="L97" s="23">
        <f>K97</f>
        <v>55440</v>
      </c>
      <c r="M97" s="27">
        <v>0</v>
      </c>
      <c r="N97" s="27">
        <v>0</v>
      </c>
      <c r="O97" s="366">
        <f t="shared" si="17"/>
        <v>0.0019771901303690127</v>
      </c>
    </row>
    <row r="98" spans="1:15" ht="15.75" customHeight="1">
      <c r="A98" s="31"/>
      <c r="B98" s="21" t="s">
        <v>724</v>
      </c>
      <c r="C98" s="32" t="s">
        <v>725</v>
      </c>
      <c r="D98" s="11">
        <v>6390</v>
      </c>
      <c r="E98" s="23">
        <v>6390</v>
      </c>
      <c r="F98" s="23">
        <v>0</v>
      </c>
      <c r="G98" s="23">
        <v>0</v>
      </c>
      <c r="H98" s="23">
        <v>3825</v>
      </c>
      <c r="I98" s="23">
        <v>0</v>
      </c>
      <c r="J98" s="23">
        <v>0</v>
      </c>
      <c r="K98" s="11">
        <v>4590</v>
      </c>
      <c r="L98" s="23">
        <f aca="true" t="shared" si="20" ref="L98:L106">K98</f>
        <v>4590</v>
      </c>
      <c r="M98" s="27">
        <v>0</v>
      </c>
      <c r="N98" s="27">
        <v>0</v>
      </c>
      <c r="O98" s="366">
        <f t="shared" si="17"/>
        <v>0.0001636959361182137</v>
      </c>
    </row>
    <row r="99" spans="1:15" ht="16.5" customHeight="1">
      <c r="A99" s="31"/>
      <c r="B99" s="28" t="s">
        <v>777</v>
      </c>
      <c r="C99" s="32" t="s">
        <v>782</v>
      </c>
      <c r="D99" s="11">
        <v>19597</v>
      </c>
      <c r="E99" s="23">
        <v>17235</v>
      </c>
      <c r="F99" s="23">
        <v>0</v>
      </c>
      <c r="G99" s="23">
        <v>0</v>
      </c>
      <c r="H99" s="23">
        <v>9550</v>
      </c>
      <c r="I99" s="23">
        <v>0</v>
      </c>
      <c r="J99" s="23">
        <v>0</v>
      </c>
      <c r="K99" s="11">
        <v>10343</v>
      </c>
      <c r="L99" s="23">
        <f t="shared" si="20"/>
        <v>10343</v>
      </c>
      <c r="M99" s="27">
        <v>0</v>
      </c>
      <c r="N99" s="27">
        <v>0</v>
      </c>
      <c r="O99" s="366">
        <f t="shared" si="17"/>
        <v>0.0003688686421069029</v>
      </c>
    </row>
    <row r="100" spans="1:15" ht="15" customHeight="1">
      <c r="A100" s="31"/>
      <c r="B100" s="28" t="s">
        <v>728</v>
      </c>
      <c r="C100" s="32" t="s">
        <v>729</v>
      </c>
      <c r="D100" s="11"/>
      <c r="E100" s="23">
        <v>2362</v>
      </c>
      <c r="F100" s="23">
        <v>0</v>
      </c>
      <c r="G100" s="23">
        <v>0</v>
      </c>
      <c r="H100" s="23">
        <v>1358</v>
      </c>
      <c r="I100" s="23">
        <v>0</v>
      </c>
      <c r="J100" s="23">
        <v>0</v>
      </c>
      <c r="K100" s="11">
        <v>1471</v>
      </c>
      <c r="L100" s="23">
        <f t="shared" si="20"/>
        <v>1471</v>
      </c>
      <c r="M100" s="27">
        <v>0</v>
      </c>
      <c r="N100" s="27">
        <v>0</v>
      </c>
      <c r="O100" s="366">
        <f t="shared" si="17"/>
        <v>5.246115948363668E-05</v>
      </c>
    </row>
    <row r="101" spans="1:15" ht="18.75" customHeight="1" hidden="1">
      <c r="A101" s="31"/>
      <c r="B101" s="21"/>
      <c r="C101" s="32" t="s">
        <v>768</v>
      </c>
      <c r="D101" s="11">
        <v>4466</v>
      </c>
      <c r="E101" s="23">
        <v>1767</v>
      </c>
      <c r="F101" s="23">
        <v>0</v>
      </c>
      <c r="G101" s="23">
        <v>0</v>
      </c>
      <c r="H101" s="23"/>
      <c r="I101" s="23"/>
      <c r="J101" s="23"/>
      <c r="K101" s="11"/>
      <c r="L101" s="23">
        <f t="shared" si="20"/>
        <v>0</v>
      </c>
      <c r="M101" s="27"/>
      <c r="N101" s="27"/>
      <c r="O101" s="366">
        <f t="shared" si="17"/>
        <v>0</v>
      </c>
    </row>
    <row r="102" spans="1:15" ht="15" customHeight="1">
      <c r="A102" s="31"/>
      <c r="B102" s="21" t="s">
        <v>459</v>
      </c>
      <c r="C102" s="32" t="s">
        <v>460</v>
      </c>
      <c r="D102" s="11"/>
      <c r="E102" s="23"/>
      <c r="F102" s="23"/>
      <c r="G102" s="23"/>
      <c r="H102" s="23"/>
      <c r="I102" s="23"/>
      <c r="J102" s="23"/>
      <c r="K102" s="11">
        <v>7160</v>
      </c>
      <c r="L102" s="23">
        <f>K102</f>
        <v>7160</v>
      </c>
      <c r="M102" s="27">
        <v>0</v>
      </c>
      <c r="N102" s="27">
        <v>0</v>
      </c>
      <c r="O102" s="366">
        <f>K102/$K$606</f>
        <v>0.0002553513949033573</v>
      </c>
    </row>
    <row r="103" spans="1:15" ht="15" customHeight="1">
      <c r="A103" s="31"/>
      <c r="B103" s="21" t="s">
        <v>730</v>
      </c>
      <c r="C103" s="32" t="s">
        <v>731</v>
      </c>
      <c r="D103" s="11"/>
      <c r="E103" s="23">
        <v>3103</v>
      </c>
      <c r="F103" s="23">
        <v>0</v>
      </c>
      <c r="G103" s="23">
        <v>0</v>
      </c>
      <c r="H103" s="23">
        <v>1691</v>
      </c>
      <c r="I103" s="23">
        <v>0</v>
      </c>
      <c r="J103" s="23">
        <v>0</v>
      </c>
      <c r="K103" s="11">
        <v>559</v>
      </c>
      <c r="L103" s="23">
        <f t="shared" si="20"/>
        <v>559</v>
      </c>
      <c r="M103" s="27">
        <v>0</v>
      </c>
      <c r="N103" s="27">
        <v>0</v>
      </c>
      <c r="O103" s="366">
        <f t="shared" si="17"/>
        <v>1.9935953875834742E-05</v>
      </c>
    </row>
    <row r="104" spans="1:15" ht="14.25" customHeight="1">
      <c r="A104" s="31"/>
      <c r="B104" s="21" t="s">
        <v>736</v>
      </c>
      <c r="C104" s="32" t="s">
        <v>826</v>
      </c>
      <c r="D104" s="11"/>
      <c r="E104" s="23"/>
      <c r="F104" s="23"/>
      <c r="G104" s="23"/>
      <c r="H104" s="23">
        <v>17600</v>
      </c>
      <c r="I104" s="23">
        <v>0</v>
      </c>
      <c r="J104" s="23">
        <v>0</v>
      </c>
      <c r="K104" s="11">
        <v>1939</v>
      </c>
      <c r="L104" s="23">
        <f>K104</f>
        <v>1939</v>
      </c>
      <c r="M104" s="27">
        <v>0</v>
      </c>
      <c r="N104" s="27">
        <v>0</v>
      </c>
      <c r="O104" s="366">
        <f t="shared" si="17"/>
        <v>6.915172551921926E-05</v>
      </c>
    </row>
    <row r="105" spans="1:15" ht="15" customHeight="1">
      <c r="A105" s="31"/>
      <c r="B105" s="21" t="s">
        <v>738</v>
      </c>
      <c r="C105" s="32" t="s">
        <v>739</v>
      </c>
      <c r="D105" s="11"/>
      <c r="E105" s="23"/>
      <c r="F105" s="23"/>
      <c r="G105" s="23"/>
      <c r="H105" s="23">
        <v>2225</v>
      </c>
      <c r="I105" s="23">
        <v>0</v>
      </c>
      <c r="J105" s="23">
        <v>0</v>
      </c>
      <c r="K105" s="11">
        <v>900</v>
      </c>
      <c r="L105" s="23">
        <f t="shared" si="20"/>
        <v>900</v>
      </c>
      <c r="M105" s="27">
        <v>0</v>
      </c>
      <c r="N105" s="27">
        <v>0</v>
      </c>
      <c r="O105" s="366">
        <f t="shared" si="17"/>
        <v>3.2097242376120335E-05</v>
      </c>
    </row>
    <row r="106" spans="1:15" ht="15" customHeight="1">
      <c r="A106" s="31"/>
      <c r="B106" s="21" t="s">
        <v>742</v>
      </c>
      <c r="C106" s="32" t="s">
        <v>743</v>
      </c>
      <c r="D106" s="11"/>
      <c r="E106" s="23"/>
      <c r="F106" s="23"/>
      <c r="G106" s="23"/>
      <c r="H106" s="175">
        <v>1250</v>
      </c>
      <c r="I106" s="175">
        <v>0</v>
      </c>
      <c r="J106" s="175">
        <v>0</v>
      </c>
      <c r="K106" s="11">
        <v>1856</v>
      </c>
      <c r="L106" s="23">
        <f t="shared" si="20"/>
        <v>1856</v>
      </c>
      <c r="M106" s="27">
        <v>0</v>
      </c>
      <c r="N106" s="27">
        <v>0</v>
      </c>
      <c r="O106" s="366">
        <f t="shared" si="17"/>
        <v>6.619164650008815E-05</v>
      </c>
    </row>
    <row r="107" spans="1:15" ht="15" customHeight="1">
      <c r="A107" s="31"/>
      <c r="B107" s="21" t="s">
        <v>783</v>
      </c>
      <c r="C107" s="32" t="s">
        <v>621</v>
      </c>
      <c r="D107" s="11"/>
      <c r="E107" s="23"/>
      <c r="F107" s="23"/>
      <c r="G107" s="23"/>
      <c r="H107" s="23">
        <v>700</v>
      </c>
      <c r="I107" s="23">
        <v>0</v>
      </c>
      <c r="J107" s="23">
        <v>0</v>
      </c>
      <c r="K107" s="11">
        <v>10000</v>
      </c>
      <c r="L107" s="23">
        <f>K107</f>
        <v>10000</v>
      </c>
      <c r="M107" s="27">
        <v>0</v>
      </c>
      <c r="N107" s="27">
        <v>0</v>
      </c>
      <c r="O107" s="366">
        <f t="shared" si="17"/>
        <v>0.0003566360264013371</v>
      </c>
    </row>
    <row r="108" spans="1:15" ht="15.75" customHeight="1">
      <c r="A108" s="20" t="s">
        <v>269</v>
      </c>
      <c r="B108" s="30"/>
      <c r="C108" s="7" t="s">
        <v>581</v>
      </c>
      <c r="D108" s="10"/>
      <c r="E108" s="10"/>
      <c r="F108" s="10"/>
      <c r="G108" s="10"/>
      <c r="H108" s="10"/>
      <c r="I108" s="10"/>
      <c r="J108" s="10"/>
      <c r="K108" s="10">
        <f>K109</f>
        <v>9000</v>
      </c>
      <c r="L108" s="10">
        <f>L109</f>
        <v>0</v>
      </c>
      <c r="M108" s="22">
        <f>M109</f>
        <v>0</v>
      </c>
      <c r="N108" s="22">
        <f>N109</f>
        <v>9000</v>
      </c>
      <c r="O108" s="366">
        <f>K108/$K$606</f>
        <v>0.00032097242376120336</v>
      </c>
    </row>
    <row r="109" spans="1:15" ht="15" customHeight="1">
      <c r="A109" s="31"/>
      <c r="B109" s="21" t="s">
        <v>270</v>
      </c>
      <c r="C109" s="32" t="s">
        <v>271</v>
      </c>
      <c r="D109" s="11"/>
      <c r="E109" s="23"/>
      <c r="F109" s="23"/>
      <c r="G109" s="23"/>
      <c r="H109" s="23"/>
      <c r="I109" s="23"/>
      <c r="J109" s="23"/>
      <c r="K109" s="11">
        <v>9000</v>
      </c>
      <c r="L109" s="23">
        <v>0</v>
      </c>
      <c r="M109" s="27">
        <v>0</v>
      </c>
      <c r="N109" s="27">
        <f>K109</f>
        <v>9000</v>
      </c>
      <c r="O109" s="366">
        <f>K109/$K$606</f>
        <v>0.00032097242376120336</v>
      </c>
    </row>
    <row r="110" spans="1:15" ht="14.25" customHeight="1">
      <c r="A110" s="20" t="s">
        <v>785</v>
      </c>
      <c r="B110" s="30"/>
      <c r="C110" s="7" t="s">
        <v>786</v>
      </c>
      <c r="D110" s="10">
        <f>D111</f>
        <v>134900</v>
      </c>
      <c r="E110" s="10">
        <f>E111+E112+E113+E114</f>
        <v>200000</v>
      </c>
      <c r="F110" s="10">
        <f>F111+F112+F113+F114</f>
        <v>0</v>
      </c>
      <c r="G110" s="10">
        <f>G111+G112+G113+G114</f>
        <v>0</v>
      </c>
      <c r="H110" s="10">
        <f aca="true" t="shared" si="21" ref="H110:N110">H111+H115+H116</f>
        <v>86060</v>
      </c>
      <c r="I110" s="10">
        <f t="shared" si="21"/>
        <v>0</v>
      </c>
      <c r="J110" s="10">
        <f t="shared" si="21"/>
        <v>0</v>
      </c>
      <c r="K110" s="10">
        <f>K111+K115+K116+K117+K118</f>
        <v>89528</v>
      </c>
      <c r="L110" s="10">
        <f>L111+L115+L116+L117+L118</f>
        <v>0</v>
      </c>
      <c r="M110" s="22">
        <f>M111+M115+M116+M117+M118</f>
        <v>89528</v>
      </c>
      <c r="N110" s="22">
        <f t="shared" si="21"/>
        <v>0</v>
      </c>
      <c r="O110" s="366">
        <f t="shared" si="17"/>
        <v>0.0031928910171658905</v>
      </c>
    </row>
    <row r="111" spans="1:15" ht="14.25" customHeight="1">
      <c r="A111" s="31"/>
      <c r="B111" s="21" t="s">
        <v>718</v>
      </c>
      <c r="C111" s="32" t="s">
        <v>787</v>
      </c>
      <c r="D111" s="11">
        <v>134900</v>
      </c>
      <c r="E111" s="23">
        <v>191600</v>
      </c>
      <c r="F111" s="23">
        <v>0</v>
      </c>
      <c r="G111" s="23">
        <v>0</v>
      </c>
      <c r="H111" s="23">
        <v>74690</v>
      </c>
      <c r="I111" s="23">
        <v>0</v>
      </c>
      <c r="J111" s="23">
        <v>0</v>
      </c>
      <c r="K111" s="11">
        <v>77528</v>
      </c>
      <c r="L111" s="23">
        <v>0</v>
      </c>
      <c r="M111" s="27">
        <f>K111</f>
        <v>77528</v>
      </c>
      <c r="N111" s="27">
        <v>0</v>
      </c>
      <c r="O111" s="366">
        <f t="shared" si="17"/>
        <v>0.002764927785484286</v>
      </c>
    </row>
    <row r="112" spans="1:15" ht="12.75" customHeight="1" hidden="1">
      <c r="A112" s="31"/>
      <c r="B112" s="21" t="s">
        <v>730</v>
      </c>
      <c r="C112" s="32" t="s">
        <v>757</v>
      </c>
      <c r="D112" s="11">
        <v>128020</v>
      </c>
      <c r="E112" s="23">
        <v>3500</v>
      </c>
      <c r="F112" s="23">
        <v>0</v>
      </c>
      <c r="G112" s="23">
        <v>0</v>
      </c>
      <c r="H112" s="23"/>
      <c r="I112" s="23"/>
      <c r="J112" s="23"/>
      <c r="K112" s="11"/>
      <c r="L112" s="23"/>
      <c r="M112" s="27"/>
      <c r="N112" s="27"/>
      <c r="O112" s="366">
        <f t="shared" si="17"/>
        <v>0</v>
      </c>
    </row>
    <row r="113" spans="1:15" ht="12.75" customHeight="1" hidden="1">
      <c r="A113" s="31"/>
      <c r="B113" s="21" t="s">
        <v>736</v>
      </c>
      <c r="C113" s="32" t="s">
        <v>737</v>
      </c>
      <c r="D113" s="11"/>
      <c r="E113" s="23">
        <v>4400</v>
      </c>
      <c r="F113" s="23">
        <v>0</v>
      </c>
      <c r="G113" s="23">
        <v>0</v>
      </c>
      <c r="H113" s="23"/>
      <c r="I113" s="23"/>
      <c r="J113" s="23"/>
      <c r="K113" s="11"/>
      <c r="L113" s="23"/>
      <c r="M113" s="27"/>
      <c r="N113" s="27"/>
      <c r="O113" s="366">
        <f t="shared" si="17"/>
        <v>0</v>
      </c>
    </row>
    <row r="114" spans="1:15" ht="12.75" customHeight="1" hidden="1">
      <c r="A114" s="31"/>
      <c r="B114" s="21" t="s">
        <v>738</v>
      </c>
      <c r="C114" s="32" t="s">
        <v>739</v>
      </c>
      <c r="D114" s="11"/>
      <c r="E114" s="23">
        <v>500</v>
      </c>
      <c r="F114" s="23">
        <v>0</v>
      </c>
      <c r="G114" s="23">
        <v>0</v>
      </c>
      <c r="H114" s="23"/>
      <c r="I114" s="23"/>
      <c r="J114" s="23"/>
      <c r="K114" s="11"/>
      <c r="L114" s="23"/>
      <c r="M114" s="27"/>
      <c r="N114" s="27"/>
      <c r="O114" s="366">
        <f t="shared" si="17"/>
        <v>0</v>
      </c>
    </row>
    <row r="115" spans="1:15" ht="12.75" customHeight="1">
      <c r="A115" s="31"/>
      <c r="B115" s="21" t="s">
        <v>730</v>
      </c>
      <c r="C115" s="32" t="s">
        <v>731</v>
      </c>
      <c r="D115" s="11"/>
      <c r="E115" s="23"/>
      <c r="F115" s="23"/>
      <c r="G115" s="23"/>
      <c r="H115" s="23">
        <v>3670</v>
      </c>
      <c r="I115" s="23">
        <v>0</v>
      </c>
      <c r="J115" s="23">
        <v>0</v>
      </c>
      <c r="K115" s="11">
        <v>5500</v>
      </c>
      <c r="L115" s="23">
        <v>0</v>
      </c>
      <c r="M115" s="27">
        <f>K115</f>
        <v>5500</v>
      </c>
      <c r="N115" s="27">
        <v>0</v>
      </c>
      <c r="O115" s="366">
        <f aca="true" t="shared" si="22" ref="O115:O152">K115/$K$606</f>
        <v>0.0001961498145207354</v>
      </c>
    </row>
    <row r="116" spans="1:15" ht="12.75" customHeight="1">
      <c r="A116" s="31"/>
      <c r="B116" s="21" t="s">
        <v>736</v>
      </c>
      <c r="C116" s="32" t="s">
        <v>826</v>
      </c>
      <c r="D116" s="11"/>
      <c r="E116" s="23"/>
      <c r="F116" s="23"/>
      <c r="G116" s="23"/>
      <c r="H116" s="23">
        <v>7700</v>
      </c>
      <c r="I116" s="23">
        <v>0</v>
      </c>
      <c r="J116" s="23">
        <v>0</v>
      </c>
      <c r="K116" s="11">
        <v>5000</v>
      </c>
      <c r="L116" s="23">
        <v>0</v>
      </c>
      <c r="M116" s="27">
        <f>K116</f>
        <v>5000</v>
      </c>
      <c r="N116" s="27">
        <v>0</v>
      </c>
      <c r="O116" s="366">
        <f t="shared" si="22"/>
        <v>0.00017831801320066854</v>
      </c>
    </row>
    <row r="117" spans="1:15" ht="12.75" customHeight="1">
      <c r="A117" s="31"/>
      <c r="B117" s="21" t="s">
        <v>738</v>
      </c>
      <c r="C117" s="32" t="s">
        <v>739</v>
      </c>
      <c r="D117" s="11"/>
      <c r="E117" s="23"/>
      <c r="F117" s="23"/>
      <c r="G117" s="23"/>
      <c r="H117" s="23"/>
      <c r="I117" s="23"/>
      <c r="J117" s="23"/>
      <c r="K117" s="11">
        <v>500</v>
      </c>
      <c r="L117" s="23">
        <v>0</v>
      </c>
      <c r="M117" s="27">
        <f>K117</f>
        <v>500</v>
      </c>
      <c r="N117" s="27">
        <v>0</v>
      </c>
      <c r="O117" s="366">
        <f t="shared" si="22"/>
        <v>1.7831801320066853E-05</v>
      </c>
    </row>
    <row r="118" spans="1:15" ht="12.75" customHeight="1">
      <c r="A118" s="31"/>
      <c r="B118" s="21" t="s">
        <v>645</v>
      </c>
      <c r="C118" s="32" t="s">
        <v>646</v>
      </c>
      <c r="D118" s="11"/>
      <c r="E118" s="23"/>
      <c r="F118" s="23"/>
      <c r="G118" s="23"/>
      <c r="H118" s="23"/>
      <c r="I118" s="23"/>
      <c r="J118" s="23"/>
      <c r="K118" s="11">
        <v>1000</v>
      </c>
      <c r="L118" s="23">
        <v>0</v>
      </c>
      <c r="M118" s="27">
        <f>K118</f>
        <v>1000</v>
      </c>
      <c r="N118" s="27">
        <v>0</v>
      </c>
      <c r="O118" s="366">
        <f t="shared" si="22"/>
        <v>3.5663602640133705E-05</v>
      </c>
    </row>
    <row r="119" spans="1:15" ht="15.75" customHeight="1">
      <c r="A119" s="20" t="s">
        <v>789</v>
      </c>
      <c r="B119" s="30"/>
      <c r="C119" s="7" t="s">
        <v>790</v>
      </c>
      <c r="D119" s="10">
        <f>D120+D121+D122+D125+D138+D140</f>
        <v>2260189</v>
      </c>
      <c r="E119" s="10" t="e">
        <f>E120+E121+E122+E124+E125+#REF!+E127+E128+#REF!+E130+E133+E135+E136+E138+E140+E137</f>
        <v>#REF!</v>
      </c>
      <c r="F119" s="10" t="e">
        <f>F120+F121+F122+F124+F125+#REF!+F127+F128+#REF!+F130+F133+F135+F136+F138+F140+F137</f>
        <v>#REF!</v>
      </c>
      <c r="G119" s="10" t="e">
        <f>G120+G121+G122+G124+G125+#REF!+G127+G128+#REF!+G130+G133+G135+G136+G138+G140+G137</f>
        <v>#REF!</v>
      </c>
      <c r="H119" s="10" t="e">
        <f>H120+H121+H122+H124+H126+#REF!+H127+H128+#REF!+H130+H133+H135+H136+H137+H138+H139+H140+H134</f>
        <v>#REF!</v>
      </c>
      <c r="I119" s="10" t="e">
        <f>I120+I121+I122+I124+I126+#REF!+I127+I128+#REF!+I130+I133+I135+I136+I137+I138+I139+I140+I134</f>
        <v>#REF!</v>
      </c>
      <c r="J119" s="10" t="e">
        <f>J120+J121+J122+J124+J126+#REF!+J127+J128+#REF!+J130+J133+J135+J136+J137+J138+J139+J140+J134</f>
        <v>#REF!</v>
      </c>
      <c r="K119" s="10">
        <f>K120+K121+K122+K123+K124+K126+K127+K128+K130+K131+K132+K133+K135+K136+K137+K138+K139+K140+K141+K134+K129</f>
        <v>2277000</v>
      </c>
      <c r="L119" s="10">
        <f>L120+L121+L122+L123+L124+L126+L127+L128+L130+L131+L132+L133+L135+L136+L137+L138+L139+L140+L141+L134+L129</f>
        <v>0</v>
      </c>
      <c r="M119" s="10">
        <f>M120+M121+M122+M123+M124+M126+M127+M128+M130+M131+M132+M133+M135+M136+M137+M138+M139+M140+M141+M134+M129</f>
        <v>2277000</v>
      </c>
      <c r="N119" s="10">
        <f>N120+N121+N122+N123+N124+N126+N127+N128+N130+N131+N132+N133+N135+N136+N137+N138+N139+N140+N141+N134+N129</f>
        <v>0</v>
      </c>
      <c r="O119" s="366">
        <f t="shared" si="22"/>
        <v>0.08120602321158445</v>
      </c>
    </row>
    <row r="120" spans="1:15" ht="15.75" customHeight="1">
      <c r="A120" s="33"/>
      <c r="B120" s="34" t="s">
        <v>720</v>
      </c>
      <c r="C120" s="32" t="s">
        <v>585</v>
      </c>
      <c r="D120" s="11">
        <v>1172382</v>
      </c>
      <c r="E120" s="23">
        <v>1396150</v>
      </c>
      <c r="F120" s="23">
        <v>0</v>
      </c>
      <c r="G120" s="23">
        <v>0</v>
      </c>
      <c r="H120" s="23">
        <v>1069576</v>
      </c>
      <c r="I120" s="23">
        <v>0</v>
      </c>
      <c r="J120" s="23">
        <v>0</v>
      </c>
      <c r="K120" s="11">
        <v>1198098</v>
      </c>
      <c r="L120" s="23">
        <v>0</v>
      </c>
      <c r="M120" s="27">
        <f>K120</f>
        <v>1198098</v>
      </c>
      <c r="N120" s="27">
        <v>0</v>
      </c>
      <c r="O120" s="366">
        <f t="shared" si="22"/>
        <v>0.042728490995938916</v>
      </c>
    </row>
    <row r="121" spans="1:15" ht="16.5" customHeight="1">
      <c r="A121" s="33"/>
      <c r="B121" s="34" t="s">
        <v>724</v>
      </c>
      <c r="C121" s="32" t="s">
        <v>725</v>
      </c>
      <c r="D121" s="11">
        <v>77447</v>
      </c>
      <c r="E121" s="23">
        <v>95133</v>
      </c>
      <c r="F121" s="23">
        <v>0</v>
      </c>
      <c r="G121" s="23">
        <v>0</v>
      </c>
      <c r="H121" s="23">
        <v>81433</v>
      </c>
      <c r="I121" s="23">
        <v>0</v>
      </c>
      <c r="J121" s="23">
        <v>0</v>
      </c>
      <c r="K121" s="11">
        <v>83252</v>
      </c>
      <c r="L121" s="23">
        <v>0</v>
      </c>
      <c r="M121" s="27">
        <f aca="true" t="shared" si="23" ref="M121:M140">K121</f>
        <v>83252</v>
      </c>
      <c r="N121" s="27">
        <v>0</v>
      </c>
      <c r="O121" s="366">
        <f t="shared" si="22"/>
        <v>0.0029690662469964114</v>
      </c>
    </row>
    <row r="122" spans="1:15" ht="15" customHeight="1">
      <c r="A122" s="33"/>
      <c r="B122" s="35" t="s">
        <v>777</v>
      </c>
      <c r="C122" s="32" t="s">
        <v>754</v>
      </c>
      <c r="D122" s="11">
        <v>236159</v>
      </c>
      <c r="E122" s="23">
        <v>262390</v>
      </c>
      <c r="F122" s="23">
        <v>0</v>
      </c>
      <c r="G122" s="23">
        <v>0</v>
      </c>
      <c r="H122" s="23">
        <v>195558</v>
      </c>
      <c r="I122" s="23">
        <v>0</v>
      </c>
      <c r="J122" s="23">
        <v>0</v>
      </c>
      <c r="K122" s="11">
        <v>168216</v>
      </c>
      <c r="L122" s="23">
        <v>0</v>
      </c>
      <c r="M122" s="27">
        <f t="shared" si="23"/>
        <v>168216</v>
      </c>
      <c r="N122" s="27">
        <v>0</v>
      </c>
      <c r="O122" s="366">
        <f t="shared" si="22"/>
        <v>0.005999188581712732</v>
      </c>
    </row>
    <row r="123" spans="1:15" ht="15" customHeight="1">
      <c r="A123" s="33"/>
      <c r="B123" s="35" t="s">
        <v>459</v>
      </c>
      <c r="C123" s="32" t="s">
        <v>460</v>
      </c>
      <c r="D123" s="11"/>
      <c r="E123" s="23"/>
      <c r="F123" s="23"/>
      <c r="G123" s="23"/>
      <c r="H123" s="23"/>
      <c r="I123" s="23"/>
      <c r="J123" s="23"/>
      <c r="K123" s="11">
        <v>2500</v>
      </c>
      <c r="L123" s="23">
        <v>0</v>
      </c>
      <c r="M123" s="27">
        <f>K123</f>
        <v>2500</v>
      </c>
      <c r="N123" s="27">
        <v>0</v>
      </c>
      <c r="O123" s="366">
        <f t="shared" si="22"/>
        <v>8.915900660033427E-05</v>
      </c>
    </row>
    <row r="124" spans="1:15" ht="15" customHeight="1">
      <c r="A124" s="33"/>
      <c r="B124" s="35" t="s">
        <v>728</v>
      </c>
      <c r="C124" s="32" t="s">
        <v>729</v>
      </c>
      <c r="D124" s="11"/>
      <c r="E124" s="23">
        <v>35746</v>
      </c>
      <c r="F124" s="23">
        <v>0</v>
      </c>
      <c r="G124" s="23">
        <v>0</v>
      </c>
      <c r="H124" s="23">
        <v>27881</v>
      </c>
      <c r="I124" s="23">
        <v>0</v>
      </c>
      <c r="J124" s="23">
        <v>0</v>
      </c>
      <c r="K124" s="11">
        <v>27256</v>
      </c>
      <c r="L124" s="23">
        <v>0</v>
      </c>
      <c r="M124" s="27">
        <f t="shared" si="23"/>
        <v>27256</v>
      </c>
      <c r="N124" s="27">
        <v>0</v>
      </c>
      <c r="O124" s="366">
        <f t="shared" si="22"/>
        <v>0.0009720471535594843</v>
      </c>
    </row>
    <row r="125" spans="1:15" ht="16.5" customHeight="1" hidden="1">
      <c r="A125" s="33"/>
      <c r="B125" s="34"/>
      <c r="C125" s="32" t="s">
        <v>768</v>
      </c>
      <c r="D125" s="11">
        <v>673201</v>
      </c>
      <c r="E125" s="23">
        <v>5676</v>
      </c>
      <c r="F125" s="23">
        <v>0</v>
      </c>
      <c r="G125" s="23">
        <v>0</v>
      </c>
      <c r="H125" s="23"/>
      <c r="I125" s="23">
        <v>0</v>
      </c>
      <c r="J125" s="23">
        <v>0</v>
      </c>
      <c r="K125" s="11"/>
      <c r="L125" s="23"/>
      <c r="M125" s="27">
        <f t="shared" si="23"/>
        <v>0</v>
      </c>
      <c r="N125" s="27"/>
      <c r="O125" s="366">
        <f t="shared" si="22"/>
        <v>0</v>
      </c>
    </row>
    <row r="126" spans="1:15" ht="16.5" customHeight="1">
      <c r="A126" s="33"/>
      <c r="B126" s="34" t="s">
        <v>711</v>
      </c>
      <c r="C126" s="32" t="s">
        <v>525</v>
      </c>
      <c r="D126" s="11"/>
      <c r="E126" s="23"/>
      <c r="F126" s="23"/>
      <c r="G126" s="23"/>
      <c r="H126" s="23">
        <v>216</v>
      </c>
      <c r="I126" s="23">
        <v>0</v>
      </c>
      <c r="J126" s="23">
        <v>0</v>
      </c>
      <c r="K126" s="11">
        <v>300</v>
      </c>
      <c r="L126" s="23">
        <v>0</v>
      </c>
      <c r="M126" s="27">
        <f t="shared" si="23"/>
        <v>300</v>
      </c>
      <c r="N126" s="27">
        <v>0</v>
      </c>
      <c r="O126" s="366">
        <f t="shared" si="22"/>
        <v>1.0699080792040112E-05</v>
      </c>
    </row>
    <row r="127" spans="1:15" ht="15.75" customHeight="1">
      <c r="A127" s="33"/>
      <c r="B127" s="34" t="s">
        <v>730</v>
      </c>
      <c r="C127" s="32" t="s">
        <v>757</v>
      </c>
      <c r="D127" s="11"/>
      <c r="E127" s="23">
        <v>125516</v>
      </c>
      <c r="F127" s="23">
        <v>18656</v>
      </c>
      <c r="G127" s="23">
        <v>0</v>
      </c>
      <c r="H127" s="23">
        <v>70370</v>
      </c>
      <c r="I127" s="23">
        <v>0</v>
      </c>
      <c r="J127" s="23">
        <v>0</v>
      </c>
      <c r="K127" s="11">
        <v>71560</v>
      </c>
      <c r="L127" s="23">
        <v>0</v>
      </c>
      <c r="M127" s="27">
        <f t="shared" si="23"/>
        <v>71560</v>
      </c>
      <c r="N127" s="27">
        <v>0</v>
      </c>
      <c r="O127" s="366">
        <f t="shared" si="22"/>
        <v>0.002552087404927968</v>
      </c>
    </row>
    <row r="128" spans="1:15" ht="15.75" customHeight="1">
      <c r="A128" s="33"/>
      <c r="B128" s="34" t="s">
        <v>732</v>
      </c>
      <c r="C128" s="32" t="s">
        <v>733</v>
      </c>
      <c r="D128" s="11"/>
      <c r="E128" s="23">
        <v>60600</v>
      </c>
      <c r="F128" s="23">
        <v>0</v>
      </c>
      <c r="G128" s="23">
        <v>0</v>
      </c>
      <c r="H128" s="23">
        <v>70000</v>
      </c>
      <c r="I128" s="23">
        <v>0</v>
      </c>
      <c r="J128" s="23">
        <v>0</v>
      </c>
      <c r="K128" s="11">
        <v>61000</v>
      </c>
      <c r="L128" s="23">
        <v>0</v>
      </c>
      <c r="M128" s="27">
        <f t="shared" si="23"/>
        <v>61000</v>
      </c>
      <c r="N128" s="27">
        <v>0</v>
      </c>
      <c r="O128" s="366">
        <f t="shared" si="22"/>
        <v>0.002175479761048156</v>
      </c>
    </row>
    <row r="129" spans="1:15" ht="15.75" customHeight="1">
      <c r="A129" s="33"/>
      <c r="B129" s="34" t="s">
        <v>734</v>
      </c>
      <c r="C129" s="32" t="s">
        <v>825</v>
      </c>
      <c r="D129" s="11"/>
      <c r="E129" s="23"/>
      <c r="F129" s="23"/>
      <c r="G129" s="23"/>
      <c r="H129" s="23"/>
      <c r="I129" s="23"/>
      <c r="J129" s="23"/>
      <c r="K129" s="11">
        <v>8500</v>
      </c>
      <c r="L129" s="23">
        <v>0</v>
      </c>
      <c r="M129" s="27">
        <f>K129</f>
        <v>8500</v>
      </c>
      <c r="N129" s="27">
        <v>0</v>
      </c>
      <c r="O129" s="366">
        <f t="shared" si="22"/>
        <v>0.00030314062244113653</v>
      </c>
    </row>
    <row r="130" spans="1:15" ht="13.5" customHeight="1">
      <c r="A130" s="33"/>
      <c r="B130" s="34" t="s">
        <v>736</v>
      </c>
      <c r="C130" s="32" t="s">
        <v>737</v>
      </c>
      <c r="D130" s="11"/>
      <c r="E130" s="23">
        <v>427481</v>
      </c>
      <c r="F130" s="23">
        <v>18859</v>
      </c>
      <c r="G130" s="23">
        <v>0</v>
      </c>
      <c r="H130" s="23">
        <v>385087</v>
      </c>
      <c r="I130" s="23">
        <v>0</v>
      </c>
      <c r="J130" s="23">
        <v>0</v>
      </c>
      <c r="K130" s="11">
        <v>359843</v>
      </c>
      <c r="L130" s="23">
        <v>0</v>
      </c>
      <c r="M130" s="27">
        <f t="shared" si="23"/>
        <v>359843</v>
      </c>
      <c r="N130" s="27">
        <v>0</v>
      </c>
      <c r="O130" s="366">
        <f t="shared" si="22"/>
        <v>0.012833297764833634</v>
      </c>
    </row>
    <row r="131" spans="1:15" ht="13.5" customHeight="1">
      <c r="A131" s="33"/>
      <c r="B131" s="34" t="s">
        <v>272</v>
      </c>
      <c r="C131" s="32" t="s">
        <v>737</v>
      </c>
      <c r="D131" s="11"/>
      <c r="E131" s="23"/>
      <c r="F131" s="23"/>
      <c r="G131" s="23"/>
      <c r="H131" s="23"/>
      <c r="I131" s="23"/>
      <c r="J131" s="23"/>
      <c r="K131" s="11">
        <v>0</v>
      </c>
      <c r="L131" s="23">
        <v>0</v>
      </c>
      <c r="M131" s="27">
        <f>K131</f>
        <v>0</v>
      </c>
      <c r="N131" s="27">
        <v>0</v>
      </c>
      <c r="O131" s="366">
        <f t="shared" si="22"/>
        <v>0</v>
      </c>
    </row>
    <row r="132" spans="1:15" ht="13.5" customHeight="1">
      <c r="A132" s="33"/>
      <c r="B132" s="34" t="s">
        <v>461</v>
      </c>
      <c r="C132" s="32" t="s">
        <v>258</v>
      </c>
      <c r="D132" s="11"/>
      <c r="E132" s="23"/>
      <c r="F132" s="23"/>
      <c r="G132" s="23"/>
      <c r="H132" s="23"/>
      <c r="I132" s="23"/>
      <c r="J132" s="23"/>
      <c r="K132" s="11">
        <v>9944</v>
      </c>
      <c r="L132" s="23">
        <v>0</v>
      </c>
      <c r="M132" s="27">
        <f>K132</f>
        <v>9944</v>
      </c>
      <c r="N132" s="27">
        <v>0</v>
      </c>
      <c r="O132" s="366">
        <f t="shared" si="22"/>
        <v>0.0003546388646534896</v>
      </c>
    </row>
    <row r="133" spans="1:15" ht="14.25" customHeight="1">
      <c r="A133" s="33"/>
      <c r="B133" s="34" t="s">
        <v>738</v>
      </c>
      <c r="C133" s="32" t="s">
        <v>739</v>
      </c>
      <c r="D133" s="11"/>
      <c r="E133" s="23">
        <v>10250</v>
      </c>
      <c r="F133" s="23">
        <v>761</v>
      </c>
      <c r="G133" s="23">
        <v>0</v>
      </c>
      <c r="H133" s="23">
        <v>7000</v>
      </c>
      <c r="I133" s="23">
        <v>0</v>
      </c>
      <c r="J133" s="23">
        <v>0</v>
      </c>
      <c r="K133" s="11">
        <v>8500</v>
      </c>
      <c r="L133" s="23">
        <v>0</v>
      </c>
      <c r="M133" s="27">
        <f t="shared" si="23"/>
        <v>8500</v>
      </c>
      <c r="N133" s="27">
        <v>0</v>
      </c>
      <c r="O133" s="366">
        <f t="shared" si="22"/>
        <v>0.00030314062244113653</v>
      </c>
    </row>
    <row r="134" spans="1:15" ht="14.25" customHeight="1">
      <c r="A134" s="33"/>
      <c r="B134" s="34" t="s">
        <v>645</v>
      </c>
      <c r="C134" s="32" t="s">
        <v>646</v>
      </c>
      <c r="D134" s="11"/>
      <c r="E134" s="23"/>
      <c r="F134" s="23"/>
      <c r="G134" s="23"/>
      <c r="H134" s="23">
        <v>1000</v>
      </c>
      <c r="I134" s="23">
        <v>0</v>
      </c>
      <c r="J134" s="23">
        <v>0</v>
      </c>
      <c r="K134" s="11">
        <v>2000</v>
      </c>
      <c r="L134" s="23">
        <v>0</v>
      </c>
      <c r="M134" s="27">
        <f t="shared" si="23"/>
        <v>2000</v>
      </c>
      <c r="N134" s="27">
        <v>0</v>
      </c>
      <c r="O134" s="366">
        <f t="shared" si="22"/>
        <v>7.132720528026741E-05</v>
      </c>
    </row>
    <row r="135" spans="1:15" ht="15.75" customHeight="1">
      <c r="A135" s="33"/>
      <c r="B135" s="34" t="s">
        <v>740</v>
      </c>
      <c r="C135" s="32" t="s">
        <v>741</v>
      </c>
      <c r="D135" s="11"/>
      <c r="E135" s="23">
        <v>14454</v>
      </c>
      <c r="F135" s="23">
        <v>0</v>
      </c>
      <c r="G135" s="23">
        <v>761</v>
      </c>
      <c r="H135" s="23">
        <v>11800</v>
      </c>
      <c r="I135" s="23">
        <v>0</v>
      </c>
      <c r="J135" s="23">
        <v>0</v>
      </c>
      <c r="K135" s="11">
        <v>707</v>
      </c>
      <c r="L135" s="23">
        <v>0</v>
      </c>
      <c r="M135" s="27">
        <f t="shared" si="23"/>
        <v>707</v>
      </c>
      <c r="N135" s="27">
        <v>0</v>
      </c>
      <c r="O135" s="366">
        <f t="shared" si="22"/>
        <v>2.521416706657453E-05</v>
      </c>
    </row>
    <row r="136" spans="1:15" ht="15.75" customHeight="1">
      <c r="A136" s="33"/>
      <c r="B136" s="34" t="s">
        <v>742</v>
      </c>
      <c r="C136" s="32" t="s">
        <v>743</v>
      </c>
      <c r="D136" s="11"/>
      <c r="E136" s="23">
        <v>40505</v>
      </c>
      <c r="F136" s="23">
        <v>0</v>
      </c>
      <c r="G136" s="23">
        <v>0</v>
      </c>
      <c r="H136" s="23">
        <v>29427</v>
      </c>
      <c r="I136" s="23">
        <v>0</v>
      </c>
      <c r="J136" s="23">
        <v>0</v>
      </c>
      <c r="K136" s="11">
        <v>34898</v>
      </c>
      <c r="L136" s="23">
        <v>0</v>
      </c>
      <c r="M136" s="27">
        <f t="shared" si="23"/>
        <v>34898</v>
      </c>
      <c r="N136" s="27">
        <v>0</v>
      </c>
      <c r="O136" s="366">
        <f t="shared" si="22"/>
        <v>0.001244588404935386</v>
      </c>
    </row>
    <row r="137" spans="1:15" ht="16.5" customHeight="1" hidden="1">
      <c r="A137" s="33"/>
      <c r="B137" s="34" t="s">
        <v>507</v>
      </c>
      <c r="C137" s="32" t="s">
        <v>528</v>
      </c>
      <c r="D137" s="11"/>
      <c r="E137" s="23">
        <v>2563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11"/>
      <c r="L137" s="23">
        <v>0</v>
      </c>
      <c r="M137" s="27">
        <f t="shared" si="23"/>
        <v>0</v>
      </c>
      <c r="N137" s="27">
        <v>0</v>
      </c>
      <c r="O137" s="366">
        <f t="shared" si="22"/>
        <v>0</v>
      </c>
    </row>
    <row r="138" spans="1:15" ht="15.75" customHeight="1">
      <c r="A138" s="20"/>
      <c r="B138" s="35" t="s">
        <v>758</v>
      </c>
      <c r="C138" s="32" t="s">
        <v>759</v>
      </c>
      <c r="D138" s="11">
        <v>41000</v>
      </c>
      <c r="E138" s="23">
        <v>17600</v>
      </c>
      <c r="F138" s="23">
        <v>0</v>
      </c>
      <c r="G138" s="23">
        <v>0</v>
      </c>
      <c r="H138" s="23">
        <v>153</v>
      </c>
      <c r="I138" s="23">
        <v>0</v>
      </c>
      <c r="J138" s="23">
        <v>0</v>
      </c>
      <c r="K138" s="11">
        <v>350</v>
      </c>
      <c r="L138" s="23">
        <v>0</v>
      </c>
      <c r="M138" s="27">
        <f t="shared" si="23"/>
        <v>350</v>
      </c>
      <c r="N138" s="27">
        <v>0</v>
      </c>
      <c r="O138" s="366">
        <f t="shared" si="22"/>
        <v>1.2482260924046797E-05</v>
      </c>
    </row>
    <row r="139" spans="1:15" ht="15.75" customHeight="1">
      <c r="A139" s="20"/>
      <c r="B139" s="35" t="s">
        <v>487</v>
      </c>
      <c r="C139" s="32" t="s">
        <v>276</v>
      </c>
      <c r="D139" s="11"/>
      <c r="E139" s="23"/>
      <c r="F139" s="23"/>
      <c r="G139" s="23"/>
      <c r="H139" s="23">
        <v>500</v>
      </c>
      <c r="I139" s="23">
        <v>0</v>
      </c>
      <c r="J139" s="23">
        <v>0</v>
      </c>
      <c r="K139" s="11">
        <v>2000</v>
      </c>
      <c r="L139" s="23">
        <v>0</v>
      </c>
      <c r="M139" s="27">
        <f t="shared" si="23"/>
        <v>2000</v>
      </c>
      <c r="N139" s="27">
        <v>0</v>
      </c>
      <c r="O139" s="366">
        <f t="shared" si="22"/>
        <v>7.132720528026741E-05</v>
      </c>
    </row>
    <row r="140" spans="1:15" ht="14.25" customHeight="1">
      <c r="A140" s="33"/>
      <c r="B140" s="34" t="s">
        <v>760</v>
      </c>
      <c r="C140" s="32" t="s">
        <v>273</v>
      </c>
      <c r="D140" s="11">
        <v>60000</v>
      </c>
      <c r="E140" s="23">
        <v>30000</v>
      </c>
      <c r="F140" s="23">
        <v>0</v>
      </c>
      <c r="G140" s="23">
        <v>18656</v>
      </c>
      <c r="H140" s="23">
        <v>12181</v>
      </c>
      <c r="I140" s="23">
        <v>0</v>
      </c>
      <c r="J140" s="23">
        <v>0</v>
      </c>
      <c r="K140" s="11">
        <v>0</v>
      </c>
      <c r="L140" s="23">
        <v>0</v>
      </c>
      <c r="M140" s="27">
        <f t="shared" si="23"/>
        <v>0</v>
      </c>
      <c r="N140" s="27">
        <v>0</v>
      </c>
      <c r="O140" s="366">
        <f t="shared" si="22"/>
        <v>0</v>
      </c>
    </row>
    <row r="141" spans="1:15" ht="14.25" customHeight="1">
      <c r="A141" s="33"/>
      <c r="B141" s="34" t="s">
        <v>274</v>
      </c>
      <c r="C141" s="32" t="s">
        <v>275</v>
      </c>
      <c r="D141" s="11"/>
      <c r="E141" s="23"/>
      <c r="F141" s="23"/>
      <c r="G141" s="23"/>
      <c r="H141" s="23"/>
      <c r="I141" s="23"/>
      <c r="J141" s="23"/>
      <c r="K141" s="11">
        <v>238076</v>
      </c>
      <c r="L141" s="23">
        <v>0</v>
      </c>
      <c r="M141" s="27">
        <f>K141</f>
        <v>238076</v>
      </c>
      <c r="N141" s="27">
        <v>0</v>
      </c>
      <c r="O141" s="366">
        <f t="shared" si="22"/>
        <v>0.008490647862152473</v>
      </c>
    </row>
    <row r="142" spans="1:15" ht="15" customHeight="1">
      <c r="A142" s="20" t="s">
        <v>791</v>
      </c>
      <c r="B142" s="30"/>
      <c r="C142" s="7" t="s">
        <v>792</v>
      </c>
      <c r="D142" s="10">
        <f>D144</f>
        <v>22000</v>
      </c>
      <c r="E142" s="10">
        <f>E144+E145+E146+E148+E149+E150</f>
        <v>25987</v>
      </c>
      <c r="F142" s="10">
        <f>F144+F145+F146+F148+F149+F150</f>
        <v>0</v>
      </c>
      <c r="G142" s="10">
        <f>G144+G145+G146+G148+G149+G150</f>
        <v>0</v>
      </c>
      <c r="H142" s="10">
        <f>H143+H144+H145+H148+H149+H150</f>
        <v>14177</v>
      </c>
      <c r="I142" s="10">
        <f>I143+I144+I145+I148+I149+I150</f>
        <v>0</v>
      </c>
      <c r="J142" s="10">
        <f>J143+J144+J145+J148+J149+J150</f>
        <v>0</v>
      </c>
      <c r="K142" s="10">
        <f>K143+K144+K145+K147+K148+K149+K150</f>
        <v>13000</v>
      </c>
      <c r="L142" s="10">
        <f>L144+L145+L147+L148+L149+L150+L143</f>
        <v>13000</v>
      </c>
      <c r="M142" s="22">
        <f>M143+M144+M145+M147+M148+M149+M150</f>
        <v>0</v>
      </c>
      <c r="N142" s="22">
        <f>N143+N144+N145+N147+N148+N149+N150</f>
        <v>0</v>
      </c>
      <c r="O142" s="366">
        <f t="shared" si="22"/>
        <v>0.0004636268343217382</v>
      </c>
    </row>
    <row r="143" spans="1:15" ht="16.5" customHeight="1">
      <c r="A143" s="20"/>
      <c r="B143" s="34" t="s">
        <v>718</v>
      </c>
      <c r="C143" s="32" t="s">
        <v>787</v>
      </c>
      <c r="D143" s="23"/>
      <c r="E143" s="23"/>
      <c r="F143" s="23"/>
      <c r="G143" s="23"/>
      <c r="H143" s="23">
        <v>5842</v>
      </c>
      <c r="I143" s="23">
        <v>0</v>
      </c>
      <c r="J143" s="23">
        <v>0</v>
      </c>
      <c r="K143" s="11">
        <v>6300</v>
      </c>
      <c r="L143" s="23">
        <f>K143</f>
        <v>6300</v>
      </c>
      <c r="M143" s="24">
        <v>0</v>
      </c>
      <c r="N143" s="24">
        <v>0</v>
      </c>
      <c r="O143" s="366">
        <f t="shared" si="22"/>
        <v>0.00022468069663284236</v>
      </c>
    </row>
    <row r="144" spans="1:15" ht="15.75" customHeight="1">
      <c r="A144" s="33"/>
      <c r="B144" s="34" t="s">
        <v>753</v>
      </c>
      <c r="C144" s="32" t="s">
        <v>793</v>
      </c>
      <c r="D144" s="11">
        <v>22000</v>
      </c>
      <c r="E144" s="23">
        <v>963</v>
      </c>
      <c r="F144" s="23">
        <v>0</v>
      </c>
      <c r="G144" s="23">
        <v>0</v>
      </c>
      <c r="H144" s="23">
        <v>465</v>
      </c>
      <c r="I144" s="23">
        <v>0</v>
      </c>
      <c r="J144" s="23">
        <v>0</v>
      </c>
      <c r="K144" s="11">
        <v>560</v>
      </c>
      <c r="L144" s="23">
        <f aca="true" t="shared" si="24" ref="L144:L150">K144</f>
        <v>560</v>
      </c>
      <c r="M144" s="27">
        <v>0</v>
      </c>
      <c r="N144" s="27">
        <v>0</v>
      </c>
      <c r="O144" s="366">
        <f t="shared" si="22"/>
        <v>1.9971617478474875E-05</v>
      </c>
    </row>
    <row r="145" spans="1:15" ht="15.75" customHeight="1">
      <c r="A145" s="33"/>
      <c r="B145" s="34" t="s">
        <v>728</v>
      </c>
      <c r="C145" s="32" t="s">
        <v>729</v>
      </c>
      <c r="D145" s="11"/>
      <c r="E145" s="23">
        <v>132</v>
      </c>
      <c r="F145" s="23">
        <v>0</v>
      </c>
      <c r="G145" s="23">
        <v>0</v>
      </c>
      <c r="H145" s="23">
        <v>66</v>
      </c>
      <c r="I145" s="23">
        <v>0</v>
      </c>
      <c r="J145" s="23">
        <v>0</v>
      </c>
      <c r="K145" s="11">
        <v>80</v>
      </c>
      <c r="L145" s="23">
        <f t="shared" si="24"/>
        <v>80</v>
      </c>
      <c r="M145" s="27">
        <v>0</v>
      </c>
      <c r="N145" s="27">
        <v>0</v>
      </c>
      <c r="O145" s="366">
        <f t="shared" si="22"/>
        <v>2.8530882112106964E-06</v>
      </c>
    </row>
    <row r="146" spans="1:15" ht="15.75" customHeight="1" hidden="1">
      <c r="A146" s="33"/>
      <c r="B146" s="34"/>
      <c r="C146" s="32" t="s">
        <v>768</v>
      </c>
      <c r="D146" s="11"/>
      <c r="E146" s="23">
        <v>16126</v>
      </c>
      <c r="F146" s="23">
        <v>0</v>
      </c>
      <c r="G146" s="23">
        <v>0</v>
      </c>
      <c r="H146" s="23"/>
      <c r="I146" s="23"/>
      <c r="J146" s="23"/>
      <c r="K146" s="11"/>
      <c r="L146" s="23">
        <f t="shared" si="24"/>
        <v>0</v>
      </c>
      <c r="M146" s="27"/>
      <c r="N146" s="27"/>
      <c r="O146" s="366">
        <f t="shared" si="22"/>
        <v>0</v>
      </c>
    </row>
    <row r="147" spans="1:15" ht="15.75" customHeight="1">
      <c r="A147" s="33"/>
      <c r="B147" s="34" t="s">
        <v>459</v>
      </c>
      <c r="C147" s="32" t="s">
        <v>460</v>
      </c>
      <c r="D147" s="11"/>
      <c r="E147" s="23"/>
      <c r="F147" s="23"/>
      <c r="G147" s="23"/>
      <c r="H147" s="23"/>
      <c r="I147" s="23"/>
      <c r="J147" s="23"/>
      <c r="K147" s="11">
        <v>4350</v>
      </c>
      <c r="L147" s="23">
        <f>K147</f>
        <v>4350</v>
      </c>
      <c r="M147" s="27">
        <v>0</v>
      </c>
      <c r="N147" s="27">
        <v>0</v>
      </c>
      <c r="O147" s="366">
        <f t="shared" si="22"/>
        <v>0.00015513667148458162</v>
      </c>
    </row>
    <row r="148" spans="1:15" ht="16.5" customHeight="1">
      <c r="A148" s="33"/>
      <c r="B148" s="34" t="s">
        <v>730</v>
      </c>
      <c r="C148" s="32" t="s">
        <v>757</v>
      </c>
      <c r="D148" s="11"/>
      <c r="E148" s="23">
        <v>6208</v>
      </c>
      <c r="F148" s="23">
        <v>0</v>
      </c>
      <c r="G148" s="23">
        <v>0</v>
      </c>
      <c r="H148" s="23">
        <v>3642</v>
      </c>
      <c r="I148" s="23">
        <v>0</v>
      </c>
      <c r="J148" s="23">
        <v>0</v>
      </c>
      <c r="K148" s="11">
        <v>1060</v>
      </c>
      <c r="L148" s="23">
        <f t="shared" si="24"/>
        <v>1060</v>
      </c>
      <c r="M148" s="27">
        <v>0</v>
      </c>
      <c r="N148" s="27">
        <v>0</v>
      </c>
      <c r="O148" s="366">
        <f t="shared" si="22"/>
        <v>3.780341879854173E-05</v>
      </c>
    </row>
    <row r="149" spans="1:15" ht="15.75" customHeight="1">
      <c r="A149" s="33"/>
      <c r="B149" s="34" t="s">
        <v>736</v>
      </c>
      <c r="C149" s="32" t="s">
        <v>737</v>
      </c>
      <c r="D149" s="11"/>
      <c r="E149" s="23">
        <v>2165</v>
      </c>
      <c r="F149" s="23">
        <v>0</v>
      </c>
      <c r="G149" s="23">
        <v>0</v>
      </c>
      <c r="H149" s="23">
        <v>3948</v>
      </c>
      <c r="I149" s="23">
        <v>0</v>
      </c>
      <c r="J149" s="23">
        <v>0</v>
      </c>
      <c r="K149" s="11">
        <v>350</v>
      </c>
      <c r="L149" s="23">
        <f t="shared" si="24"/>
        <v>350</v>
      </c>
      <c r="M149" s="27">
        <v>0</v>
      </c>
      <c r="N149" s="27">
        <v>0</v>
      </c>
      <c r="O149" s="366">
        <f t="shared" si="22"/>
        <v>1.2482260924046797E-05</v>
      </c>
    </row>
    <row r="150" spans="1:15" ht="15.75" customHeight="1">
      <c r="A150" s="33"/>
      <c r="B150" s="34" t="s">
        <v>738</v>
      </c>
      <c r="C150" s="32" t="s">
        <v>739</v>
      </c>
      <c r="D150" s="11"/>
      <c r="E150" s="23">
        <v>393</v>
      </c>
      <c r="F150" s="23">
        <v>0</v>
      </c>
      <c r="G150" s="23">
        <v>0</v>
      </c>
      <c r="H150" s="23">
        <v>214</v>
      </c>
      <c r="I150" s="23">
        <v>0</v>
      </c>
      <c r="J150" s="23">
        <v>0</v>
      </c>
      <c r="K150" s="11">
        <v>300</v>
      </c>
      <c r="L150" s="23">
        <f t="shared" si="24"/>
        <v>300</v>
      </c>
      <c r="M150" s="27">
        <v>0</v>
      </c>
      <c r="N150" s="27">
        <v>0</v>
      </c>
      <c r="O150" s="366">
        <f t="shared" si="22"/>
        <v>1.0699080792040112E-05</v>
      </c>
    </row>
    <row r="151" spans="1:15" ht="15.75" customHeight="1">
      <c r="A151" s="20" t="s">
        <v>794</v>
      </c>
      <c r="B151" s="30"/>
      <c r="C151" s="7" t="s">
        <v>795</v>
      </c>
      <c r="D151" s="10">
        <f>D152</f>
        <v>11000</v>
      </c>
      <c r="E151" s="10">
        <f>E152+E158</f>
        <v>10000</v>
      </c>
      <c r="F151" s="10">
        <f>F152+F158</f>
        <v>0</v>
      </c>
      <c r="G151" s="10">
        <f>G152+G158</f>
        <v>0</v>
      </c>
      <c r="H151" s="10">
        <f>H155+H158</f>
        <v>8900</v>
      </c>
      <c r="I151" s="10">
        <f>I155+I158</f>
        <v>0</v>
      </c>
      <c r="J151" s="10">
        <f>J155+J158</f>
        <v>0</v>
      </c>
      <c r="K151" s="10">
        <f>K155+K156+K157+K158</f>
        <v>24275</v>
      </c>
      <c r="L151" s="10">
        <f>L155+L156+L157+L158</f>
        <v>0</v>
      </c>
      <c r="M151" s="22">
        <f>M155+M156+M157+M158</f>
        <v>24275</v>
      </c>
      <c r="N151" s="22">
        <f>N155+N156+N157+N158</f>
        <v>0</v>
      </c>
      <c r="O151" s="366">
        <f t="shared" si="22"/>
        <v>0.0008657339540892457</v>
      </c>
    </row>
    <row r="152" spans="1:15" ht="0.75" customHeight="1" hidden="1">
      <c r="A152" s="33"/>
      <c r="B152" s="34"/>
      <c r="C152" s="32" t="s">
        <v>768</v>
      </c>
      <c r="D152" s="11">
        <v>11000</v>
      </c>
      <c r="E152" s="23">
        <v>3000</v>
      </c>
      <c r="F152" s="23">
        <v>0</v>
      </c>
      <c r="G152" s="23">
        <v>0</v>
      </c>
      <c r="H152" s="23"/>
      <c r="I152" s="23"/>
      <c r="J152" s="23"/>
      <c r="K152" s="23"/>
      <c r="L152" s="23">
        <v>0</v>
      </c>
      <c r="M152" s="27">
        <f>H152</f>
        <v>0</v>
      </c>
      <c r="N152" s="27">
        <v>0</v>
      </c>
      <c r="O152" s="366">
        <f t="shared" si="22"/>
        <v>0</v>
      </c>
    </row>
    <row r="153" spans="1:15" ht="0.75" customHeight="1" hidden="1">
      <c r="A153" s="33"/>
      <c r="B153" s="34"/>
      <c r="C153" s="32"/>
      <c r="D153" s="11"/>
      <c r="E153" s="23"/>
      <c r="F153" s="23"/>
      <c r="G153" s="23"/>
      <c r="H153" s="23"/>
      <c r="I153" s="23"/>
      <c r="J153" s="23"/>
      <c r="K153" s="23"/>
      <c r="L153" s="23"/>
      <c r="M153" s="27"/>
      <c r="N153" s="27"/>
      <c r="O153" s="366"/>
    </row>
    <row r="154" spans="1:15" ht="0.75" customHeight="1">
      <c r="A154" s="33"/>
      <c r="B154" s="34"/>
      <c r="C154" s="32"/>
      <c r="D154" s="11"/>
      <c r="E154" s="23"/>
      <c r="F154" s="23"/>
      <c r="G154" s="23"/>
      <c r="H154" s="23"/>
      <c r="I154" s="23"/>
      <c r="J154" s="23"/>
      <c r="K154" s="23"/>
      <c r="L154" s="23"/>
      <c r="M154" s="27"/>
      <c r="N154" s="27"/>
      <c r="O154" s="366"/>
    </row>
    <row r="155" spans="1:15" ht="15.75" customHeight="1">
      <c r="A155" s="33"/>
      <c r="B155" s="34" t="s">
        <v>730</v>
      </c>
      <c r="C155" s="32" t="s">
        <v>757</v>
      </c>
      <c r="D155" s="11"/>
      <c r="E155" s="23"/>
      <c r="F155" s="23"/>
      <c r="G155" s="23"/>
      <c r="H155" s="23">
        <v>800</v>
      </c>
      <c r="I155" s="23">
        <v>0</v>
      </c>
      <c r="J155" s="23">
        <v>0</v>
      </c>
      <c r="K155" s="11">
        <v>4000</v>
      </c>
      <c r="L155" s="23">
        <v>0</v>
      </c>
      <c r="M155" s="27">
        <f>K155</f>
        <v>4000</v>
      </c>
      <c r="N155" s="27">
        <v>0</v>
      </c>
      <c r="O155" s="366">
        <f>K155/$K$606</f>
        <v>0.00014265441056053482</v>
      </c>
    </row>
    <row r="156" spans="1:15" ht="15.75" customHeight="1">
      <c r="A156" s="33"/>
      <c r="B156" s="34" t="s">
        <v>459</v>
      </c>
      <c r="C156" s="32" t="s">
        <v>259</v>
      </c>
      <c r="D156" s="11"/>
      <c r="E156" s="23"/>
      <c r="F156" s="23"/>
      <c r="G156" s="23"/>
      <c r="H156" s="23"/>
      <c r="I156" s="23"/>
      <c r="J156" s="23"/>
      <c r="K156" s="11">
        <v>1800</v>
      </c>
      <c r="L156" s="23">
        <v>0</v>
      </c>
      <c r="M156" s="27">
        <f>K156</f>
        <v>1800</v>
      </c>
      <c r="N156" s="27">
        <v>0</v>
      </c>
      <c r="O156" s="366">
        <f>K156/$K$606</f>
        <v>6.419448475224067E-05</v>
      </c>
    </row>
    <row r="157" spans="1:15" ht="15.75" customHeight="1">
      <c r="A157" s="33"/>
      <c r="B157" s="34" t="s">
        <v>736</v>
      </c>
      <c r="C157" s="32" t="s">
        <v>737</v>
      </c>
      <c r="D157" s="11"/>
      <c r="E157" s="23"/>
      <c r="F157" s="23"/>
      <c r="G157" s="23"/>
      <c r="H157" s="23"/>
      <c r="I157" s="23"/>
      <c r="J157" s="23"/>
      <c r="K157" s="11">
        <v>8200</v>
      </c>
      <c r="L157" s="23">
        <v>0</v>
      </c>
      <c r="M157" s="27">
        <f>K157</f>
        <v>8200</v>
      </c>
      <c r="N157" s="27">
        <v>0</v>
      </c>
      <c r="O157" s="366">
        <f>K157/$K$606</f>
        <v>0.0002924415416490964</v>
      </c>
    </row>
    <row r="158" spans="1:15" ht="16.5" customHeight="1">
      <c r="A158" s="33"/>
      <c r="B158" s="34" t="s">
        <v>740</v>
      </c>
      <c r="C158" s="32" t="s">
        <v>897</v>
      </c>
      <c r="D158" s="11"/>
      <c r="E158" s="23">
        <v>7000</v>
      </c>
      <c r="F158" s="23">
        <v>0</v>
      </c>
      <c r="G158" s="23">
        <v>0</v>
      </c>
      <c r="H158" s="23">
        <v>8100</v>
      </c>
      <c r="I158" s="23">
        <v>0</v>
      </c>
      <c r="J158" s="23">
        <v>0</v>
      </c>
      <c r="K158" s="11">
        <v>10275</v>
      </c>
      <c r="L158" s="23">
        <v>0</v>
      </c>
      <c r="M158" s="27">
        <f>K158</f>
        <v>10275</v>
      </c>
      <c r="N158" s="27">
        <v>0</v>
      </c>
      <c r="O158" s="366">
        <f>K158/$K$606</f>
        <v>0.00036644351712737384</v>
      </c>
    </row>
    <row r="159" spans="1:15" ht="53.25" customHeight="1" hidden="1">
      <c r="A159" s="20" t="s">
        <v>492</v>
      </c>
      <c r="B159" s="30"/>
      <c r="C159" s="7" t="s">
        <v>497</v>
      </c>
      <c r="D159" s="10"/>
      <c r="E159" s="10"/>
      <c r="F159" s="10"/>
      <c r="G159" s="10"/>
      <c r="H159" s="10">
        <f aca="true" t="shared" si="25" ref="H159:N159">H160</f>
        <v>0</v>
      </c>
      <c r="I159" s="10">
        <f t="shared" si="25"/>
        <v>0</v>
      </c>
      <c r="J159" s="10">
        <f t="shared" si="25"/>
        <v>0</v>
      </c>
      <c r="K159" s="10"/>
      <c r="L159" s="10">
        <f t="shared" si="25"/>
        <v>0</v>
      </c>
      <c r="M159" s="10">
        <f t="shared" si="25"/>
        <v>0</v>
      </c>
      <c r="N159" s="10">
        <f t="shared" si="25"/>
        <v>0</v>
      </c>
      <c r="O159" s="366">
        <f aca="true" t="shared" si="26" ref="O159:O190">K159/$K$606</f>
        <v>0</v>
      </c>
    </row>
    <row r="160" spans="1:15" ht="51" customHeight="1" hidden="1">
      <c r="A160" s="20" t="s">
        <v>493</v>
      </c>
      <c r="B160" s="30"/>
      <c r="C160" s="7" t="s">
        <v>508</v>
      </c>
      <c r="D160" s="10"/>
      <c r="E160" s="10"/>
      <c r="F160" s="10"/>
      <c r="G160" s="10"/>
      <c r="H160" s="10">
        <f aca="true" t="shared" si="27" ref="H160:N160">H161+H162+H163+H164</f>
        <v>0</v>
      </c>
      <c r="I160" s="10">
        <f t="shared" si="27"/>
        <v>0</v>
      </c>
      <c r="J160" s="10">
        <f t="shared" si="27"/>
        <v>0</v>
      </c>
      <c r="K160" s="10"/>
      <c r="L160" s="10">
        <f t="shared" si="27"/>
        <v>0</v>
      </c>
      <c r="M160" s="10">
        <f t="shared" si="27"/>
        <v>0</v>
      </c>
      <c r="N160" s="10">
        <f t="shared" si="27"/>
        <v>0</v>
      </c>
      <c r="O160" s="366">
        <f t="shared" si="26"/>
        <v>0</v>
      </c>
    </row>
    <row r="161" spans="1:15" ht="16.5" customHeight="1" hidden="1">
      <c r="A161" s="33"/>
      <c r="B161" s="34" t="s">
        <v>718</v>
      </c>
      <c r="C161" s="32" t="s">
        <v>719</v>
      </c>
      <c r="D161" s="23"/>
      <c r="E161" s="23"/>
      <c r="F161" s="23"/>
      <c r="G161" s="23"/>
      <c r="H161" s="23">
        <v>0</v>
      </c>
      <c r="I161" s="23">
        <v>0</v>
      </c>
      <c r="J161" s="23">
        <v>0</v>
      </c>
      <c r="K161" s="23"/>
      <c r="L161" s="23">
        <v>0</v>
      </c>
      <c r="M161" s="24">
        <v>0</v>
      </c>
      <c r="N161" s="24">
        <v>0</v>
      </c>
      <c r="O161" s="366">
        <f t="shared" si="26"/>
        <v>0</v>
      </c>
    </row>
    <row r="162" spans="1:15" ht="14.25" customHeight="1" hidden="1">
      <c r="A162" s="33"/>
      <c r="B162" s="34" t="s">
        <v>730</v>
      </c>
      <c r="C162" s="32" t="s">
        <v>731</v>
      </c>
      <c r="D162" s="23"/>
      <c r="E162" s="23"/>
      <c r="F162" s="23"/>
      <c r="G162" s="23"/>
      <c r="H162" s="23">
        <v>0</v>
      </c>
      <c r="I162" s="23">
        <v>0</v>
      </c>
      <c r="J162" s="23">
        <v>0</v>
      </c>
      <c r="K162" s="23"/>
      <c r="L162" s="23">
        <v>0</v>
      </c>
      <c r="M162" s="24">
        <v>0</v>
      </c>
      <c r="N162" s="24">
        <v>0</v>
      </c>
      <c r="O162" s="366">
        <f t="shared" si="26"/>
        <v>0</v>
      </c>
    </row>
    <row r="163" spans="1:15" ht="14.25" customHeight="1" hidden="1">
      <c r="A163" s="33"/>
      <c r="B163" s="34" t="s">
        <v>736</v>
      </c>
      <c r="C163" s="32" t="s">
        <v>826</v>
      </c>
      <c r="D163" s="23"/>
      <c r="E163" s="23"/>
      <c r="F163" s="23"/>
      <c r="G163" s="23"/>
      <c r="H163" s="23">
        <v>0</v>
      </c>
      <c r="I163" s="23">
        <v>0</v>
      </c>
      <c r="J163" s="23">
        <v>0</v>
      </c>
      <c r="K163" s="23"/>
      <c r="L163" s="23">
        <v>0</v>
      </c>
      <c r="M163" s="24">
        <v>0</v>
      </c>
      <c r="N163" s="24">
        <v>0</v>
      </c>
      <c r="O163" s="366">
        <f t="shared" si="26"/>
        <v>0</v>
      </c>
    </row>
    <row r="164" spans="1:15" ht="15" customHeight="1" hidden="1">
      <c r="A164" s="33"/>
      <c r="B164" s="34" t="s">
        <v>738</v>
      </c>
      <c r="C164" s="32" t="s">
        <v>739</v>
      </c>
      <c r="D164" s="23"/>
      <c r="E164" s="23"/>
      <c r="F164" s="23"/>
      <c r="G164" s="23"/>
      <c r="H164" s="23">
        <v>0</v>
      </c>
      <c r="I164" s="23">
        <v>0</v>
      </c>
      <c r="J164" s="23">
        <v>0</v>
      </c>
      <c r="K164" s="23"/>
      <c r="L164" s="23">
        <v>0</v>
      </c>
      <c r="M164" s="24">
        <v>0</v>
      </c>
      <c r="N164" s="24">
        <v>0</v>
      </c>
      <c r="O164" s="366">
        <f t="shared" si="26"/>
        <v>0</v>
      </c>
    </row>
    <row r="165" spans="1:15" ht="24" customHeight="1">
      <c r="A165" s="20" t="s">
        <v>796</v>
      </c>
      <c r="B165" s="30"/>
      <c r="C165" s="7" t="s">
        <v>797</v>
      </c>
      <c r="D165" s="10" t="e">
        <f aca="true" t="shared" si="28" ref="D165:J165">D166+D186</f>
        <v>#REF!</v>
      </c>
      <c r="E165" s="10" t="e">
        <f t="shared" si="28"/>
        <v>#REF!</v>
      </c>
      <c r="F165" s="10" t="e">
        <f t="shared" si="28"/>
        <v>#REF!</v>
      </c>
      <c r="G165" s="10" t="e">
        <f t="shared" si="28"/>
        <v>#REF!</v>
      </c>
      <c r="H165" s="10" t="e">
        <f t="shared" si="28"/>
        <v>#REF!</v>
      </c>
      <c r="I165" s="10" t="e">
        <f t="shared" si="28"/>
        <v>#REF!</v>
      </c>
      <c r="J165" s="10" t="e">
        <f t="shared" si="28"/>
        <v>#REF!</v>
      </c>
      <c r="K165" s="10">
        <f>K186+K212</f>
        <v>2046500</v>
      </c>
      <c r="L165" s="10">
        <f>L186+L212</f>
        <v>2028000</v>
      </c>
      <c r="M165" s="22">
        <f>M186+M212</f>
        <v>18500</v>
      </c>
      <c r="N165" s="22">
        <f>N166+N186+N212</f>
        <v>0</v>
      </c>
      <c r="O165" s="366">
        <f t="shared" si="26"/>
        <v>0.07298556280303363</v>
      </c>
    </row>
    <row r="166" spans="1:15" ht="18" customHeight="1" hidden="1">
      <c r="A166" s="20" t="s">
        <v>798</v>
      </c>
      <c r="B166" s="30"/>
      <c r="C166" s="7" t="s">
        <v>810</v>
      </c>
      <c r="D166" s="10">
        <f>D168+D170+D171+D172+D173+D174+D175+D176</f>
        <v>4730178</v>
      </c>
      <c r="E166" s="10" t="e">
        <f>#REF!+E167+E168+E170+E171+E172+E173+E174+E175+E176+E177+E178+E180+E181+E182+E183+E184+E185+E169</f>
        <v>#REF!</v>
      </c>
      <c r="F166" s="10" t="e">
        <f>#REF!+F167+F168+F170+F171+F172+F173+F174+F175+F176+F177+F178+F180+F181+F182+F183+F184+F185+F169</f>
        <v>#REF!</v>
      </c>
      <c r="G166" s="10" t="e">
        <f>#REF!+G167+G168+G170+G171+G172+G173+G174+G175+G176+G177+G178+G180+G181+G182+G183+G184+G185+G169</f>
        <v>#REF!</v>
      </c>
      <c r="H166" s="10" t="e">
        <f>#REF!+H167+H168+H169+H170+H171+H172+H173+H174+H175+H176+H177+H178+H180+H181+H182+H183+H184+H185+H179</f>
        <v>#REF!</v>
      </c>
      <c r="I166" s="10" t="e">
        <f>#REF!+I167+I168+I169+I170+I171+I172+I173+I174+I175+I176+I177+I178+I180+I181+I182+I183+I184+I185+I179</f>
        <v>#REF!</v>
      </c>
      <c r="J166" s="10" t="e">
        <f>#REF!+J167+J168+J169+J170+J171+J172+J173+J174+J175+J176+J177+J178+J180+J181+J182+J183+J184+J185+J179</f>
        <v>#REF!</v>
      </c>
      <c r="K166" s="10">
        <f>K167+K168+K169+K170+K171+K172+K173+K174+K175+K176+K177+K178+K180+K181+K182+K183+K184+K185+K179</f>
        <v>0</v>
      </c>
      <c r="L166" s="10" t="e">
        <f>L167+L168+L169+L170+L171+L172+L173+L174+L175+L176+L177+L178+L180+L181+L182+L183+L184+L185+L179</f>
        <v>#REF!</v>
      </c>
      <c r="M166" s="10">
        <f>M167+M168+M169+M170+M171+M172+M173+M174+M175+M176+M177+M178+M180+M181+M182+M183+M184+M185+M179</f>
        <v>0</v>
      </c>
      <c r="N166" s="10">
        <f>N167+N168+N169+N170+N171+N172+N173+N174+N175+N176+N177+N178+N180+N181+N182+N183+N184+N185+N179</f>
        <v>0</v>
      </c>
      <c r="O166" s="366">
        <f t="shared" si="26"/>
        <v>0</v>
      </c>
    </row>
    <row r="167" spans="1:15" ht="16.5" customHeight="1" hidden="1">
      <c r="A167" s="20"/>
      <c r="B167" s="34" t="s">
        <v>718</v>
      </c>
      <c r="C167" s="32" t="s">
        <v>719</v>
      </c>
      <c r="D167" s="23"/>
      <c r="E167" s="23">
        <v>35000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/>
      <c r="L167" s="23" t="e">
        <f>#REF!</f>
        <v>#REF!</v>
      </c>
      <c r="M167" s="24">
        <v>0</v>
      </c>
      <c r="N167" s="24">
        <v>0</v>
      </c>
      <c r="O167" s="366">
        <f t="shared" si="26"/>
        <v>0</v>
      </c>
    </row>
    <row r="168" spans="1:15" ht="17.25" customHeight="1" hidden="1">
      <c r="A168" s="33"/>
      <c r="B168" s="34" t="s">
        <v>720</v>
      </c>
      <c r="C168" s="32" t="s">
        <v>721</v>
      </c>
      <c r="D168" s="11">
        <v>332400</v>
      </c>
      <c r="E168" s="23">
        <v>350100</v>
      </c>
      <c r="F168" s="23">
        <v>0</v>
      </c>
      <c r="G168" s="23">
        <v>174500</v>
      </c>
      <c r="H168" s="23">
        <v>0</v>
      </c>
      <c r="I168" s="23">
        <v>0</v>
      </c>
      <c r="J168" s="23">
        <v>0</v>
      </c>
      <c r="K168" s="23"/>
      <c r="L168" s="23" t="e">
        <f>#REF!</f>
        <v>#REF!</v>
      </c>
      <c r="M168" s="27">
        <v>0</v>
      </c>
      <c r="N168" s="27">
        <v>0</v>
      </c>
      <c r="O168" s="366">
        <f t="shared" si="26"/>
        <v>0</v>
      </c>
    </row>
    <row r="169" spans="1:15" ht="18" customHeight="1" hidden="1">
      <c r="A169" s="33"/>
      <c r="B169" s="34" t="s">
        <v>722</v>
      </c>
      <c r="C169" s="32" t="s">
        <v>811</v>
      </c>
      <c r="D169" s="11"/>
      <c r="E169" s="23">
        <v>0</v>
      </c>
      <c r="F169" s="23">
        <v>174500</v>
      </c>
      <c r="G169" s="23">
        <v>0</v>
      </c>
      <c r="H169" s="23">
        <v>0</v>
      </c>
      <c r="I169" s="23">
        <v>0</v>
      </c>
      <c r="J169" s="23">
        <v>0</v>
      </c>
      <c r="K169" s="23"/>
      <c r="L169" s="23" t="e">
        <f>#REF!</f>
        <v>#REF!</v>
      </c>
      <c r="M169" s="27">
        <v>0</v>
      </c>
      <c r="N169" s="27">
        <v>0</v>
      </c>
      <c r="O169" s="366">
        <f t="shared" si="26"/>
        <v>0</v>
      </c>
    </row>
    <row r="170" spans="1:15" ht="16.5" customHeight="1" hidden="1">
      <c r="A170" s="33"/>
      <c r="B170" s="34" t="s">
        <v>724</v>
      </c>
      <c r="C170" s="32" t="s">
        <v>725</v>
      </c>
      <c r="D170" s="11">
        <v>19900</v>
      </c>
      <c r="E170" s="23">
        <v>22950</v>
      </c>
      <c r="F170" s="23">
        <v>700</v>
      </c>
      <c r="G170" s="23">
        <v>0</v>
      </c>
      <c r="H170" s="23">
        <v>0</v>
      </c>
      <c r="I170" s="23">
        <v>0</v>
      </c>
      <c r="J170" s="23">
        <v>0</v>
      </c>
      <c r="K170" s="23"/>
      <c r="L170" s="23" t="e">
        <f>#REF!</f>
        <v>#REF!</v>
      </c>
      <c r="M170" s="27">
        <v>0</v>
      </c>
      <c r="N170" s="27">
        <v>0</v>
      </c>
      <c r="O170" s="366">
        <f t="shared" si="26"/>
        <v>0</v>
      </c>
    </row>
    <row r="171" spans="1:15" ht="16.5" customHeight="1" hidden="1">
      <c r="A171" s="33"/>
      <c r="B171" s="34" t="s">
        <v>812</v>
      </c>
      <c r="C171" s="32" t="s">
        <v>813</v>
      </c>
      <c r="D171" s="11">
        <v>2944100</v>
      </c>
      <c r="E171" s="23">
        <v>3354273</v>
      </c>
      <c r="F171" s="23">
        <v>0</v>
      </c>
      <c r="G171" s="23">
        <v>150000</v>
      </c>
      <c r="H171" s="23">
        <v>0</v>
      </c>
      <c r="I171" s="23">
        <v>0</v>
      </c>
      <c r="J171" s="23">
        <v>0</v>
      </c>
      <c r="K171" s="23"/>
      <c r="L171" s="23" t="e">
        <f>#REF!</f>
        <v>#REF!</v>
      </c>
      <c r="M171" s="27">
        <v>0</v>
      </c>
      <c r="N171" s="27">
        <v>0</v>
      </c>
      <c r="O171" s="366">
        <f t="shared" si="26"/>
        <v>0</v>
      </c>
    </row>
    <row r="172" spans="1:15" ht="15" customHeight="1" hidden="1">
      <c r="A172" s="33"/>
      <c r="B172" s="34" t="s">
        <v>814</v>
      </c>
      <c r="C172" s="32" t="s">
        <v>815</v>
      </c>
      <c r="D172" s="11">
        <v>66700</v>
      </c>
      <c r="E172" s="23">
        <v>85698</v>
      </c>
      <c r="F172" s="23">
        <v>48402</v>
      </c>
      <c r="G172" s="23">
        <v>0</v>
      </c>
      <c r="H172" s="23">
        <v>0</v>
      </c>
      <c r="I172" s="23">
        <v>0</v>
      </c>
      <c r="J172" s="23">
        <v>0</v>
      </c>
      <c r="K172" s="23"/>
      <c r="L172" s="23" t="e">
        <f>#REF!</f>
        <v>#REF!</v>
      </c>
      <c r="M172" s="27">
        <v>0</v>
      </c>
      <c r="N172" s="27">
        <v>0</v>
      </c>
      <c r="O172" s="366">
        <f t="shared" si="26"/>
        <v>0</v>
      </c>
    </row>
    <row r="173" spans="1:15" ht="15.75" customHeight="1" hidden="1">
      <c r="A173" s="33"/>
      <c r="B173" s="34" t="s">
        <v>816</v>
      </c>
      <c r="C173" s="32" t="s">
        <v>817</v>
      </c>
      <c r="D173" s="11">
        <v>202700</v>
      </c>
      <c r="E173" s="23">
        <v>233700</v>
      </c>
      <c r="F173" s="23">
        <v>2300</v>
      </c>
      <c r="G173" s="23">
        <v>0</v>
      </c>
      <c r="H173" s="23">
        <v>0</v>
      </c>
      <c r="I173" s="23">
        <v>0</v>
      </c>
      <c r="J173" s="23">
        <v>0</v>
      </c>
      <c r="K173" s="23"/>
      <c r="L173" s="23" t="e">
        <f>#REF!</f>
        <v>#REF!</v>
      </c>
      <c r="M173" s="27">
        <v>0</v>
      </c>
      <c r="N173" s="27">
        <v>0</v>
      </c>
      <c r="O173" s="366">
        <f t="shared" si="26"/>
        <v>0</v>
      </c>
    </row>
    <row r="174" spans="1:15" ht="16.5" customHeight="1" hidden="1">
      <c r="A174" s="33"/>
      <c r="B174" s="34" t="s">
        <v>818</v>
      </c>
      <c r="C174" s="32" t="s">
        <v>819</v>
      </c>
      <c r="D174" s="11">
        <v>18700</v>
      </c>
      <c r="E174" s="23">
        <v>16600</v>
      </c>
      <c r="F174" s="23">
        <v>21600</v>
      </c>
      <c r="G174" s="23">
        <v>0</v>
      </c>
      <c r="H174" s="23">
        <v>0</v>
      </c>
      <c r="I174" s="23">
        <v>0</v>
      </c>
      <c r="J174" s="23">
        <v>0</v>
      </c>
      <c r="K174" s="23"/>
      <c r="L174" s="23" t="e">
        <f>#REF!</f>
        <v>#REF!</v>
      </c>
      <c r="M174" s="27">
        <v>0</v>
      </c>
      <c r="N174" s="27">
        <v>0</v>
      </c>
      <c r="O174" s="366">
        <f t="shared" si="26"/>
        <v>0</v>
      </c>
    </row>
    <row r="175" spans="1:15" ht="14.25" customHeight="1" hidden="1">
      <c r="A175" s="33"/>
      <c r="B175" s="35" t="s">
        <v>777</v>
      </c>
      <c r="C175" s="32" t="s">
        <v>754</v>
      </c>
      <c r="D175" s="11">
        <v>69700</v>
      </c>
      <c r="E175" s="23">
        <v>65638</v>
      </c>
      <c r="F175" s="23">
        <v>19500</v>
      </c>
      <c r="G175" s="23">
        <v>0</v>
      </c>
      <c r="H175" s="23">
        <v>0</v>
      </c>
      <c r="I175" s="23">
        <v>0</v>
      </c>
      <c r="J175" s="23">
        <v>0</v>
      </c>
      <c r="K175" s="23"/>
      <c r="L175" s="23" t="e">
        <f>#REF!</f>
        <v>#REF!</v>
      </c>
      <c r="M175" s="27">
        <v>0</v>
      </c>
      <c r="N175" s="27">
        <v>0</v>
      </c>
      <c r="O175" s="366">
        <f t="shared" si="26"/>
        <v>0</v>
      </c>
    </row>
    <row r="176" spans="1:15" ht="15.75" customHeight="1" hidden="1">
      <c r="A176" s="33"/>
      <c r="B176" s="34" t="s">
        <v>728</v>
      </c>
      <c r="C176" s="32" t="s">
        <v>729</v>
      </c>
      <c r="D176" s="11">
        <v>1075978</v>
      </c>
      <c r="E176" s="23">
        <v>8871</v>
      </c>
      <c r="F176" s="23">
        <v>4600</v>
      </c>
      <c r="G176" s="23">
        <v>0</v>
      </c>
      <c r="H176" s="23">
        <v>0</v>
      </c>
      <c r="I176" s="23">
        <v>0</v>
      </c>
      <c r="J176" s="23">
        <v>0</v>
      </c>
      <c r="K176" s="23"/>
      <c r="L176" s="23" t="e">
        <f>#REF!</f>
        <v>#REF!</v>
      </c>
      <c r="M176" s="27">
        <v>0</v>
      </c>
      <c r="N176" s="27">
        <v>0</v>
      </c>
      <c r="O176" s="366">
        <f t="shared" si="26"/>
        <v>0</v>
      </c>
    </row>
    <row r="177" spans="1:15" ht="16.5" customHeight="1" hidden="1">
      <c r="A177" s="33"/>
      <c r="B177" s="34" t="s">
        <v>730</v>
      </c>
      <c r="C177" s="32" t="s">
        <v>731</v>
      </c>
      <c r="D177" s="11"/>
      <c r="E177" s="23">
        <v>267050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/>
      <c r="L177" s="23" t="e">
        <f>#REF!</f>
        <v>#REF!</v>
      </c>
      <c r="M177" s="27">
        <v>0</v>
      </c>
      <c r="N177" s="27">
        <v>0</v>
      </c>
      <c r="O177" s="366">
        <f t="shared" si="26"/>
        <v>0</v>
      </c>
    </row>
    <row r="178" spans="1:15" ht="15.75" customHeight="1" hidden="1">
      <c r="A178" s="33"/>
      <c r="B178" s="34" t="s">
        <v>820</v>
      </c>
      <c r="C178" s="32" t="s">
        <v>821</v>
      </c>
      <c r="D178" s="11"/>
      <c r="E178" s="23">
        <v>6000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/>
      <c r="L178" s="23" t="e">
        <f>#REF!</f>
        <v>#REF!</v>
      </c>
      <c r="M178" s="27">
        <v>0</v>
      </c>
      <c r="N178" s="27">
        <v>0</v>
      </c>
      <c r="O178" s="366">
        <f t="shared" si="26"/>
        <v>0</v>
      </c>
    </row>
    <row r="179" spans="1:15" ht="14.25" customHeight="1" hidden="1">
      <c r="A179" s="33"/>
      <c r="B179" s="34" t="s">
        <v>822</v>
      </c>
      <c r="C179" s="32" t="s">
        <v>823</v>
      </c>
      <c r="D179" s="11"/>
      <c r="E179" s="23"/>
      <c r="F179" s="23"/>
      <c r="G179" s="23"/>
      <c r="H179" s="23">
        <v>0</v>
      </c>
      <c r="I179" s="23">
        <v>0</v>
      </c>
      <c r="J179" s="23">
        <v>0</v>
      </c>
      <c r="K179" s="23"/>
      <c r="L179" s="23" t="e">
        <f>#REF!</f>
        <v>#REF!</v>
      </c>
      <c r="M179" s="27">
        <v>0</v>
      </c>
      <c r="N179" s="27">
        <v>0</v>
      </c>
      <c r="O179" s="366">
        <f t="shared" si="26"/>
        <v>0</v>
      </c>
    </row>
    <row r="180" spans="1:15" ht="15.75" customHeight="1" hidden="1">
      <c r="A180" s="33"/>
      <c r="B180" s="34" t="s">
        <v>732</v>
      </c>
      <c r="C180" s="32" t="s">
        <v>824</v>
      </c>
      <c r="D180" s="11"/>
      <c r="E180" s="23">
        <v>68300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/>
      <c r="L180" s="23" t="e">
        <f>#REF!</f>
        <v>#REF!</v>
      </c>
      <c r="M180" s="27">
        <v>0</v>
      </c>
      <c r="N180" s="27">
        <v>0</v>
      </c>
      <c r="O180" s="366">
        <f t="shared" si="26"/>
        <v>0</v>
      </c>
    </row>
    <row r="181" spans="1:15" ht="15.75" customHeight="1" hidden="1">
      <c r="A181" s="33"/>
      <c r="B181" s="34" t="s">
        <v>734</v>
      </c>
      <c r="C181" s="32" t="s">
        <v>825</v>
      </c>
      <c r="D181" s="11"/>
      <c r="E181" s="23">
        <v>15000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/>
      <c r="L181" s="23" t="e">
        <f>#REF!</f>
        <v>#REF!</v>
      </c>
      <c r="M181" s="27">
        <v>0</v>
      </c>
      <c r="N181" s="27">
        <v>0</v>
      </c>
      <c r="O181" s="366">
        <f t="shared" si="26"/>
        <v>0</v>
      </c>
    </row>
    <row r="182" spans="1:15" ht="16.5" customHeight="1" hidden="1">
      <c r="A182" s="33"/>
      <c r="B182" s="34" t="s">
        <v>736</v>
      </c>
      <c r="C182" s="32" t="s">
        <v>826</v>
      </c>
      <c r="D182" s="11"/>
      <c r="E182" s="23">
        <v>62300</v>
      </c>
      <c r="F182" s="23">
        <v>5000</v>
      </c>
      <c r="G182" s="23">
        <v>0</v>
      </c>
      <c r="H182" s="23">
        <v>0</v>
      </c>
      <c r="I182" s="23">
        <v>0</v>
      </c>
      <c r="J182" s="23">
        <v>0</v>
      </c>
      <c r="K182" s="23"/>
      <c r="L182" s="23" t="e">
        <f>#REF!</f>
        <v>#REF!</v>
      </c>
      <c r="M182" s="27">
        <v>0</v>
      </c>
      <c r="N182" s="27">
        <v>0</v>
      </c>
      <c r="O182" s="366">
        <f t="shared" si="26"/>
        <v>0</v>
      </c>
    </row>
    <row r="183" spans="1:15" ht="27" customHeight="1" hidden="1">
      <c r="A183" s="33"/>
      <c r="B183" s="34" t="s">
        <v>738</v>
      </c>
      <c r="C183" s="32" t="s">
        <v>739</v>
      </c>
      <c r="D183" s="11"/>
      <c r="E183" s="23">
        <v>38100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/>
      <c r="L183" s="23" t="e">
        <f>#REF!</f>
        <v>#REF!</v>
      </c>
      <c r="M183" s="27">
        <v>0</v>
      </c>
      <c r="N183" s="27">
        <v>0</v>
      </c>
      <c r="O183" s="366">
        <f t="shared" si="26"/>
        <v>0</v>
      </c>
    </row>
    <row r="184" spans="1:15" ht="27" customHeight="1" hidden="1">
      <c r="A184" s="33"/>
      <c r="B184" s="34" t="s">
        <v>742</v>
      </c>
      <c r="C184" s="32" t="s">
        <v>743</v>
      </c>
      <c r="D184" s="11"/>
      <c r="E184" s="23">
        <v>13200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/>
      <c r="L184" s="23" t="e">
        <f>#REF!</f>
        <v>#REF!</v>
      </c>
      <c r="M184" s="27">
        <v>0</v>
      </c>
      <c r="N184" s="27">
        <v>0</v>
      </c>
      <c r="O184" s="366">
        <f t="shared" si="26"/>
        <v>0</v>
      </c>
    </row>
    <row r="185" spans="1:15" ht="27" customHeight="1" hidden="1">
      <c r="A185" s="33"/>
      <c r="B185" s="34" t="s">
        <v>762</v>
      </c>
      <c r="C185" s="32" t="s">
        <v>582</v>
      </c>
      <c r="D185" s="11">
        <v>6030</v>
      </c>
      <c r="E185" s="23">
        <v>17500</v>
      </c>
      <c r="F185" s="23">
        <v>0</v>
      </c>
      <c r="G185" s="23">
        <v>5000</v>
      </c>
      <c r="H185" s="23">
        <v>3000</v>
      </c>
      <c r="I185" s="23">
        <v>0</v>
      </c>
      <c r="J185" s="23">
        <v>0</v>
      </c>
      <c r="K185" s="23">
        <v>0</v>
      </c>
      <c r="L185" s="23">
        <v>0</v>
      </c>
      <c r="M185" s="27">
        <v>0</v>
      </c>
      <c r="N185" s="27">
        <f>K185</f>
        <v>0</v>
      </c>
      <c r="O185" s="366">
        <f t="shared" si="26"/>
        <v>0</v>
      </c>
    </row>
    <row r="186" spans="1:15" ht="15.75" customHeight="1">
      <c r="A186" s="20" t="s">
        <v>827</v>
      </c>
      <c r="B186" s="30"/>
      <c r="C186" s="7" t="s">
        <v>828</v>
      </c>
      <c r="D186" s="10" t="e">
        <f>D187+D188+D189+D190+D191+#REF!+D193+D194</f>
        <v>#REF!</v>
      </c>
      <c r="E186" s="10" t="e">
        <f>E187+E188+E189+E190+E191+#REF!+E193+E194+E195+E198+E200+E201+E202+E204+E205+E206+E207+E208+E210+#REF!+E209</f>
        <v>#REF!</v>
      </c>
      <c r="F186" s="10" t="e">
        <f>F187+F188+F189+F190+F191+#REF!+F193+F194+F195+F198+F201+F202+F204+F205+F207+F208+F210+#REF!+F209</f>
        <v>#REF!</v>
      </c>
      <c r="G186" s="10" t="e">
        <f>G187+G188+G189+G190+G191+#REF!+G193+G194+G195+G198+G201+G202+G204+G205+G207+G208+G210+#REF!+G209</f>
        <v>#REF!</v>
      </c>
      <c r="H186" s="10" t="e">
        <f>H187+H188+H189+H190+H191+#REF!+H193+H194+H195+H198+H200+H201+H202+H204+H205+H206+H208+H209+H210+H199</f>
        <v>#REF!</v>
      </c>
      <c r="I186" s="10" t="e">
        <f>I187+I188+I189+I190+I191+#REF!+I193+I194+I195+I198+I200+I201+I202+I204+I205+I206+I208+I209+I210+I199</f>
        <v>#REF!</v>
      </c>
      <c r="J186" s="10" t="e">
        <f>J187+J188+J189+J190+J191+#REF!+J193+J194+J195+J198+J200+J201+J202+J204+J205+J206+J208+J209+J210+J199</f>
        <v>#REF!</v>
      </c>
      <c r="K186" s="10">
        <f>K187+K188+K189+K190+K191+K193+K194+K195+K196+K197+K198+K200+K201+K202+K204+K205+K206+K208+K209+K210+K199+K211+K192+K203</f>
        <v>2025500</v>
      </c>
      <c r="L186" s="10">
        <f>L187+L188+L189+L190+L191+L193+L194+L195+L196+L197+L198+L200+L201+L202+L204+L205+L206+L208+L209+L210+L199+L211+L192+L203</f>
        <v>2007000</v>
      </c>
      <c r="M186" s="10">
        <f>M187+M188+M189+M190+M191+M193+M194+M195+M196+M197+M198+M200+M201+M202+M204+M205+M206+M208+M209+M210+M199+M211+M192+M203</f>
        <v>18500</v>
      </c>
      <c r="N186" s="10">
        <f>N187+N188+N189+N190+N191+N193+N194+N195+N196+N197+N198+N200+N201+N202+N204+N205+N206+N208+N209+N210+N199+N211+N192+N203</f>
        <v>0</v>
      </c>
      <c r="O186" s="366">
        <f t="shared" si="26"/>
        <v>0.07223662714759083</v>
      </c>
    </row>
    <row r="187" spans="1:15" ht="15.75" customHeight="1">
      <c r="A187" s="33"/>
      <c r="B187" s="34" t="s">
        <v>722</v>
      </c>
      <c r="C187" s="32" t="s">
        <v>278</v>
      </c>
      <c r="D187" s="11">
        <v>15218</v>
      </c>
      <c r="E187" s="23">
        <v>14500</v>
      </c>
      <c r="F187" s="23">
        <v>1000</v>
      </c>
      <c r="G187" s="23">
        <v>0</v>
      </c>
      <c r="H187" s="23">
        <v>17000</v>
      </c>
      <c r="I187" s="23">
        <v>0</v>
      </c>
      <c r="J187" s="23">
        <v>0</v>
      </c>
      <c r="K187" s="11">
        <v>19000</v>
      </c>
      <c r="L187" s="23">
        <f>K187</f>
        <v>19000</v>
      </c>
      <c r="M187" s="27">
        <v>0</v>
      </c>
      <c r="N187" s="27">
        <v>0</v>
      </c>
      <c r="O187" s="366">
        <f t="shared" si="26"/>
        <v>0.0006776084501625404</v>
      </c>
    </row>
    <row r="188" spans="1:15" ht="15.75" customHeight="1">
      <c r="A188" s="33"/>
      <c r="B188" s="34" t="s">
        <v>724</v>
      </c>
      <c r="C188" s="32" t="s">
        <v>725</v>
      </c>
      <c r="D188" s="11">
        <v>782</v>
      </c>
      <c r="E188" s="23">
        <v>1200</v>
      </c>
      <c r="F188" s="23">
        <v>0</v>
      </c>
      <c r="G188" s="23">
        <v>14</v>
      </c>
      <c r="H188" s="23">
        <v>1415</v>
      </c>
      <c r="I188" s="23">
        <v>0</v>
      </c>
      <c r="J188" s="23">
        <v>0</v>
      </c>
      <c r="K188" s="11">
        <v>2000</v>
      </c>
      <c r="L188" s="23">
        <f aca="true" t="shared" si="29" ref="L188:L211">K188</f>
        <v>2000</v>
      </c>
      <c r="M188" s="27">
        <v>0</v>
      </c>
      <c r="N188" s="27">
        <v>0</v>
      </c>
      <c r="O188" s="366">
        <f t="shared" si="26"/>
        <v>7.132720528026741E-05</v>
      </c>
    </row>
    <row r="189" spans="1:15" ht="24" customHeight="1">
      <c r="A189" s="33"/>
      <c r="B189" s="34" t="s">
        <v>812</v>
      </c>
      <c r="C189" s="32" t="s">
        <v>813</v>
      </c>
      <c r="D189" s="11">
        <v>1635532</v>
      </c>
      <c r="E189" s="23">
        <v>1917450</v>
      </c>
      <c r="F189" s="23">
        <v>0</v>
      </c>
      <c r="G189" s="23">
        <v>0</v>
      </c>
      <c r="H189" s="23">
        <v>1149573</v>
      </c>
      <c r="I189" s="23">
        <v>0</v>
      </c>
      <c r="J189" s="23">
        <v>0</v>
      </c>
      <c r="K189" s="11">
        <v>1315000</v>
      </c>
      <c r="L189" s="23">
        <f t="shared" si="29"/>
        <v>1315000</v>
      </c>
      <c r="M189" s="27">
        <v>0</v>
      </c>
      <c r="N189" s="27">
        <v>0</v>
      </c>
      <c r="O189" s="366">
        <f t="shared" si="26"/>
        <v>0.046897637471775826</v>
      </c>
    </row>
    <row r="190" spans="1:15" ht="15" customHeight="1">
      <c r="A190" s="33"/>
      <c r="B190" s="34" t="s">
        <v>814</v>
      </c>
      <c r="C190" s="32" t="s">
        <v>815</v>
      </c>
      <c r="D190" s="11">
        <v>15859</v>
      </c>
      <c r="E190" s="23">
        <v>46700</v>
      </c>
      <c r="F190" s="23">
        <v>0</v>
      </c>
      <c r="G190" s="23">
        <v>0</v>
      </c>
      <c r="H190" s="23">
        <v>5200</v>
      </c>
      <c r="I190" s="23">
        <v>0</v>
      </c>
      <c r="J190" s="23">
        <v>0</v>
      </c>
      <c r="K190" s="11">
        <v>94000</v>
      </c>
      <c r="L190" s="23">
        <f t="shared" si="29"/>
        <v>94000</v>
      </c>
      <c r="M190" s="27">
        <v>0</v>
      </c>
      <c r="N190" s="27">
        <v>0</v>
      </c>
      <c r="O190" s="366">
        <f t="shared" si="26"/>
        <v>0.0033523786481725686</v>
      </c>
    </row>
    <row r="191" spans="1:15" ht="15.75" customHeight="1">
      <c r="A191" s="33"/>
      <c r="B191" s="34" t="s">
        <v>816</v>
      </c>
      <c r="C191" s="32" t="s">
        <v>817</v>
      </c>
      <c r="D191" s="11">
        <v>96233</v>
      </c>
      <c r="E191" s="23">
        <v>146640</v>
      </c>
      <c r="F191" s="23">
        <v>0</v>
      </c>
      <c r="G191" s="23">
        <v>15640</v>
      </c>
      <c r="H191" s="23">
        <v>86500</v>
      </c>
      <c r="I191" s="23">
        <v>0</v>
      </c>
      <c r="J191" s="23">
        <v>0</v>
      </c>
      <c r="K191" s="11">
        <v>104000</v>
      </c>
      <c r="L191" s="23">
        <f t="shared" si="29"/>
        <v>104000</v>
      </c>
      <c r="M191" s="27">
        <v>0</v>
      </c>
      <c r="N191" s="27">
        <v>0</v>
      </c>
      <c r="O191" s="366">
        <f aca="true" t="shared" si="30" ref="O191:O228">K191/$K$606</f>
        <v>0.0037090146745739055</v>
      </c>
    </row>
    <row r="192" spans="1:15" ht="18" customHeight="1">
      <c r="A192" s="33"/>
      <c r="B192" s="34" t="s">
        <v>818</v>
      </c>
      <c r="C192" s="32" t="s">
        <v>277</v>
      </c>
      <c r="D192" s="11"/>
      <c r="E192" s="23"/>
      <c r="F192" s="23"/>
      <c r="G192" s="23"/>
      <c r="H192" s="23"/>
      <c r="I192" s="23"/>
      <c r="J192" s="23"/>
      <c r="K192" s="11">
        <v>0</v>
      </c>
      <c r="L192" s="23">
        <f t="shared" si="29"/>
        <v>0</v>
      </c>
      <c r="M192" s="27">
        <v>0</v>
      </c>
      <c r="N192" s="27">
        <v>0</v>
      </c>
      <c r="O192" s="366">
        <f t="shared" si="30"/>
        <v>0</v>
      </c>
    </row>
    <row r="193" spans="1:15" ht="18" customHeight="1">
      <c r="A193" s="33"/>
      <c r="B193" s="35" t="s">
        <v>777</v>
      </c>
      <c r="C193" s="32" t="s">
        <v>793</v>
      </c>
      <c r="D193" s="11">
        <v>39438</v>
      </c>
      <c r="E193" s="23">
        <v>71560</v>
      </c>
      <c r="F193" s="23">
        <v>0</v>
      </c>
      <c r="G193" s="23">
        <v>26000</v>
      </c>
      <c r="H193" s="23">
        <v>38000</v>
      </c>
      <c r="I193" s="23">
        <v>0</v>
      </c>
      <c r="J193" s="23">
        <v>0</v>
      </c>
      <c r="K193" s="11">
        <v>3500</v>
      </c>
      <c r="L193" s="23">
        <f t="shared" si="29"/>
        <v>3500</v>
      </c>
      <c r="M193" s="27">
        <v>0</v>
      </c>
      <c r="N193" s="27">
        <v>0</v>
      </c>
      <c r="O193" s="366">
        <f t="shared" si="30"/>
        <v>0.00012482260924046796</v>
      </c>
    </row>
    <row r="194" spans="1:15" ht="15.75" customHeight="1">
      <c r="A194" s="33"/>
      <c r="B194" s="34" t="s">
        <v>728</v>
      </c>
      <c r="C194" s="32" t="s">
        <v>729</v>
      </c>
      <c r="D194" s="11">
        <v>843962</v>
      </c>
      <c r="E194" s="23">
        <v>12030</v>
      </c>
      <c r="F194" s="23">
        <v>0</v>
      </c>
      <c r="G194" s="23">
        <v>5000</v>
      </c>
      <c r="H194" s="23">
        <v>5410</v>
      </c>
      <c r="I194" s="23">
        <v>0</v>
      </c>
      <c r="J194" s="23">
        <v>0</v>
      </c>
      <c r="K194" s="11">
        <v>500</v>
      </c>
      <c r="L194" s="23">
        <f t="shared" si="29"/>
        <v>500</v>
      </c>
      <c r="M194" s="27">
        <v>0</v>
      </c>
      <c r="N194" s="27">
        <v>0</v>
      </c>
      <c r="O194" s="366">
        <f t="shared" si="30"/>
        <v>1.7831801320066853E-05</v>
      </c>
    </row>
    <row r="195" spans="1:15" ht="15.75" customHeight="1">
      <c r="A195" s="33"/>
      <c r="B195" s="34" t="s">
        <v>711</v>
      </c>
      <c r="C195" s="32" t="s">
        <v>756</v>
      </c>
      <c r="D195" s="11"/>
      <c r="E195" s="23">
        <v>265000</v>
      </c>
      <c r="F195" s="23">
        <v>25000</v>
      </c>
      <c r="G195" s="23">
        <v>0</v>
      </c>
      <c r="H195" s="23">
        <v>219000</v>
      </c>
      <c r="I195" s="23">
        <v>0</v>
      </c>
      <c r="J195" s="23">
        <v>0</v>
      </c>
      <c r="K195" s="11">
        <v>0</v>
      </c>
      <c r="L195" s="23">
        <f t="shared" si="29"/>
        <v>0</v>
      </c>
      <c r="M195" s="27">
        <v>0</v>
      </c>
      <c r="N195" s="27">
        <v>0</v>
      </c>
      <c r="O195" s="366">
        <f t="shared" si="30"/>
        <v>0</v>
      </c>
    </row>
    <row r="196" spans="1:15" ht="15.75" customHeight="1">
      <c r="A196" s="33"/>
      <c r="B196" s="34" t="s">
        <v>260</v>
      </c>
      <c r="C196" s="32" t="s">
        <v>261</v>
      </c>
      <c r="D196" s="11"/>
      <c r="E196" s="23"/>
      <c r="F196" s="23"/>
      <c r="G196" s="23"/>
      <c r="H196" s="23"/>
      <c r="I196" s="23"/>
      <c r="J196" s="23"/>
      <c r="K196" s="11">
        <v>137000</v>
      </c>
      <c r="L196" s="23">
        <f>K196</f>
        <v>137000</v>
      </c>
      <c r="M196" s="27">
        <v>0</v>
      </c>
      <c r="N196" s="27">
        <v>0</v>
      </c>
      <c r="O196" s="366">
        <f>K196/$K$606</f>
        <v>0.004885913561698318</v>
      </c>
    </row>
    <row r="197" spans="1:15" ht="15.75" customHeight="1">
      <c r="A197" s="33"/>
      <c r="B197" s="34" t="s">
        <v>262</v>
      </c>
      <c r="C197" s="32" t="s">
        <v>263</v>
      </c>
      <c r="D197" s="11"/>
      <c r="E197" s="23"/>
      <c r="F197" s="23"/>
      <c r="G197" s="23"/>
      <c r="H197" s="23"/>
      <c r="I197" s="23"/>
      <c r="J197" s="23"/>
      <c r="K197" s="11">
        <v>100000</v>
      </c>
      <c r="L197" s="23">
        <f>K197</f>
        <v>100000</v>
      </c>
      <c r="M197" s="27">
        <v>0</v>
      </c>
      <c r="N197" s="27">
        <v>0</v>
      </c>
      <c r="O197" s="366">
        <f>K197/$K$606</f>
        <v>0.003566360264013371</v>
      </c>
    </row>
    <row r="198" spans="1:15" ht="15.75" customHeight="1">
      <c r="A198" s="33"/>
      <c r="B198" s="34" t="s">
        <v>730</v>
      </c>
      <c r="C198" s="32" t="s">
        <v>731</v>
      </c>
      <c r="D198" s="11"/>
      <c r="E198" s="23">
        <v>296300</v>
      </c>
      <c r="F198" s="23">
        <v>62410</v>
      </c>
      <c r="G198" s="23">
        <v>0</v>
      </c>
      <c r="H198" s="23">
        <v>173952</v>
      </c>
      <c r="I198" s="23">
        <v>0</v>
      </c>
      <c r="J198" s="23">
        <v>0</v>
      </c>
      <c r="K198" s="11">
        <v>139500</v>
      </c>
      <c r="L198" s="23">
        <f>K198-M198</f>
        <v>121000</v>
      </c>
      <c r="M198" s="27">
        <v>18500</v>
      </c>
      <c r="N198" s="27">
        <v>0</v>
      </c>
      <c r="O198" s="366">
        <f t="shared" si="30"/>
        <v>0.004975072568298652</v>
      </c>
    </row>
    <row r="199" spans="1:15" ht="15.75" customHeight="1">
      <c r="A199" s="33"/>
      <c r="B199" s="34" t="s">
        <v>820</v>
      </c>
      <c r="C199" s="32" t="s">
        <v>821</v>
      </c>
      <c r="D199" s="11"/>
      <c r="E199" s="23"/>
      <c r="F199" s="23"/>
      <c r="G199" s="23"/>
      <c r="H199" s="23">
        <v>2000</v>
      </c>
      <c r="I199" s="23">
        <v>0</v>
      </c>
      <c r="J199" s="23">
        <v>0</v>
      </c>
      <c r="K199" s="11">
        <v>0</v>
      </c>
      <c r="L199" s="23">
        <f t="shared" si="29"/>
        <v>0</v>
      </c>
      <c r="M199" s="27">
        <v>0</v>
      </c>
      <c r="N199" s="27">
        <v>0</v>
      </c>
      <c r="O199" s="366">
        <f t="shared" si="30"/>
        <v>0</v>
      </c>
    </row>
    <row r="200" spans="1:15" ht="16.5" customHeight="1">
      <c r="A200" s="33"/>
      <c r="B200" s="34" t="s">
        <v>822</v>
      </c>
      <c r="C200" s="32" t="s">
        <v>823</v>
      </c>
      <c r="D200" s="11"/>
      <c r="E200" s="23">
        <v>0</v>
      </c>
      <c r="F200" s="23"/>
      <c r="G200" s="23"/>
      <c r="H200" s="23">
        <v>88000</v>
      </c>
      <c r="I200" s="23">
        <v>0</v>
      </c>
      <c r="J200" s="23">
        <v>0</v>
      </c>
      <c r="K200" s="11">
        <v>10890</v>
      </c>
      <c r="L200" s="23">
        <f t="shared" si="29"/>
        <v>10890</v>
      </c>
      <c r="M200" s="27">
        <v>0</v>
      </c>
      <c r="N200" s="27">
        <v>0</v>
      </c>
      <c r="O200" s="366">
        <f t="shared" si="30"/>
        <v>0.0003883766327510561</v>
      </c>
    </row>
    <row r="201" spans="1:15" ht="15.75" customHeight="1">
      <c r="A201" s="33"/>
      <c r="B201" s="34" t="s">
        <v>732</v>
      </c>
      <c r="C201" s="32" t="s">
        <v>824</v>
      </c>
      <c r="D201" s="11"/>
      <c r="E201" s="23">
        <v>25000</v>
      </c>
      <c r="F201" s="23">
        <v>0</v>
      </c>
      <c r="G201" s="23">
        <v>5100</v>
      </c>
      <c r="H201" s="23">
        <v>17000</v>
      </c>
      <c r="I201" s="23">
        <v>0</v>
      </c>
      <c r="J201" s="23">
        <v>0</v>
      </c>
      <c r="K201" s="11">
        <v>18000</v>
      </c>
      <c r="L201" s="23">
        <f t="shared" si="29"/>
        <v>18000</v>
      </c>
      <c r="M201" s="27">
        <v>0</v>
      </c>
      <c r="N201" s="27">
        <v>0</v>
      </c>
      <c r="O201" s="366">
        <f t="shared" si="30"/>
        <v>0.0006419448475224067</v>
      </c>
    </row>
    <row r="202" spans="1:15" ht="17.25" customHeight="1">
      <c r="A202" s="33"/>
      <c r="B202" s="34" t="s">
        <v>734</v>
      </c>
      <c r="C202" s="32" t="s">
        <v>825</v>
      </c>
      <c r="D202" s="11"/>
      <c r="E202" s="23">
        <v>10000</v>
      </c>
      <c r="F202" s="23">
        <v>5000</v>
      </c>
      <c r="G202" s="23">
        <v>0</v>
      </c>
      <c r="H202" s="23">
        <v>43545</v>
      </c>
      <c r="I202" s="23">
        <v>0</v>
      </c>
      <c r="J202" s="23">
        <v>0</v>
      </c>
      <c r="K202" s="11">
        <v>5780</v>
      </c>
      <c r="L202" s="23">
        <f t="shared" si="29"/>
        <v>5780</v>
      </c>
      <c r="M202" s="27">
        <v>0</v>
      </c>
      <c r="N202" s="27">
        <v>0</v>
      </c>
      <c r="O202" s="366">
        <f t="shared" si="30"/>
        <v>0.00020613562325997282</v>
      </c>
    </row>
    <row r="203" spans="1:15" ht="17.25" customHeight="1">
      <c r="A203" s="33"/>
      <c r="B203" s="34" t="s">
        <v>800</v>
      </c>
      <c r="C203" s="32" t="s">
        <v>801</v>
      </c>
      <c r="D203" s="11"/>
      <c r="E203" s="23"/>
      <c r="F203" s="23"/>
      <c r="G203" s="23"/>
      <c r="H203" s="23"/>
      <c r="I203" s="23"/>
      <c r="J203" s="23"/>
      <c r="K203" s="11">
        <v>6500</v>
      </c>
      <c r="L203" s="23">
        <f t="shared" si="29"/>
        <v>6500</v>
      </c>
      <c r="M203" s="27">
        <v>0</v>
      </c>
      <c r="N203" s="27">
        <v>0</v>
      </c>
      <c r="O203" s="366">
        <f t="shared" si="30"/>
        <v>0.0002318134171608691</v>
      </c>
    </row>
    <row r="204" spans="1:15" ht="17.25" customHeight="1">
      <c r="A204" s="33"/>
      <c r="B204" s="34" t="s">
        <v>736</v>
      </c>
      <c r="C204" s="32" t="s">
        <v>826</v>
      </c>
      <c r="D204" s="11"/>
      <c r="E204" s="23">
        <v>58800</v>
      </c>
      <c r="F204" s="23">
        <v>10000</v>
      </c>
      <c r="G204" s="23">
        <v>0</v>
      </c>
      <c r="H204" s="23">
        <v>56000</v>
      </c>
      <c r="I204" s="23">
        <v>0</v>
      </c>
      <c r="J204" s="23">
        <v>0</v>
      </c>
      <c r="K204" s="11">
        <v>45000</v>
      </c>
      <c r="L204" s="23">
        <f t="shared" si="29"/>
        <v>45000</v>
      </c>
      <c r="M204" s="27">
        <v>0</v>
      </c>
      <c r="N204" s="27">
        <v>0</v>
      </c>
      <c r="O204" s="366">
        <f t="shared" si="30"/>
        <v>0.0016048621188060168</v>
      </c>
    </row>
    <row r="205" spans="1:15" ht="14.25" customHeight="1">
      <c r="A205" s="33"/>
      <c r="B205" s="34" t="s">
        <v>738</v>
      </c>
      <c r="C205" s="32" t="s">
        <v>739</v>
      </c>
      <c r="D205" s="11"/>
      <c r="E205" s="23">
        <v>25000</v>
      </c>
      <c r="F205" s="23">
        <v>0</v>
      </c>
      <c r="G205" s="23">
        <v>17000</v>
      </c>
      <c r="H205" s="23">
        <v>8000</v>
      </c>
      <c r="I205" s="23">
        <v>0</v>
      </c>
      <c r="J205" s="23">
        <v>0</v>
      </c>
      <c r="K205" s="11">
        <v>7000</v>
      </c>
      <c r="L205" s="23">
        <f t="shared" si="29"/>
        <v>7000</v>
      </c>
      <c r="M205" s="27">
        <v>0</v>
      </c>
      <c r="N205" s="27">
        <v>0</v>
      </c>
      <c r="O205" s="366">
        <f t="shared" si="30"/>
        <v>0.0002496452184809359</v>
      </c>
    </row>
    <row r="206" spans="1:15" ht="15.75" customHeight="1">
      <c r="A206" s="33"/>
      <c r="B206" s="34" t="s">
        <v>740</v>
      </c>
      <c r="C206" s="32" t="s">
        <v>741</v>
      </c>
      <c r="D206" s="11"/>
      <c r="E206" s="23">
        <v>0</v>
      </c>
      <c r="F206" s="23"/>
      <c r="G206" s="23"/>
      <c r="H206" s="23">
        <v>7000</v>
      </c>
      <c r="I206" s="23">
        <v>0</v>
      </c>
      <c r="J206" s="23">
        <v>0</v>
      </c>
      <c r="K206" s="11">
        <v>6500</v>
      </c>
      <c r="L206" s="23">
        <f t="shared" si="29"/>
        <v>6500</v>
      </c>
      <c r="M206" s="27">
        <v>0</v>
      </c>
      <c r="N206" s="27">
        <v>0</v>
      </c>
      <c r="O206" s="366">
        <f t="shared" si="30"/>
        <v>0.0002318134171608691</v>
      </c>
    </row>
    <row r="207" spans="1:15" ht="19.5" customHeight="1" hidden="1">
      <c r="A207" s="33"/>
      <c r="B207" s="34" t="s">
        <v>740</v>
      </c>
      <c r="C207" s="32" t="s">
        <v>829</v>
      </c>
      <c r="D207" s="11"/>
      <c r="E207" s="23">
        <v>12500</v>
      </c>
      <c r="F207" s="23">
        <v>0</v>
      </c>
      <c r="G207" s="23">
        <v>2500</v>
      </c>
      <c r="H207" s="10"/>
      <c r="I207" s="23">
        <v>0</v>
      </c>
      <c r="J207" s="23">
        <v>0</v>
      </c>
      <c r="K207" s="11"/>
      <c r="L207" s="23">
        <f t="shared" si="29"/>
        <v>0</v>
      </c>
      <c r="M207" s="27">
        <v>0</v>
      </c>
      <c r="N207" s="27">
        <v>0</v>
      </c>
      <c r="O207" s="366">
        <f t="shared" si="30"/>
        <v>0</v>
      </c>
    </row>
    <row r="208" spans="1:15" ht="18" customHeight="1">
      <c r="A208" s="33"/>
      <c r="B208" s="34" t="s">
        <v>742</v>
      </c>
      <c r="C208" s="32" t="s">
        <v>743</v>
      </c>
      <c r="D208" s="11"/>
      <c r="E208" s="23">
        <v>2000</v>
      </c>
      <c r="F208" s="23">
        <v>0</v>
      </c>
      <c r="G208" s="23">
        <v>1173</v>
      </c>
      <c r="H208" s="23">
        <v>676</v>
      </c>
      <c r="I208" s="23">
        <v>0</v>
      </c>
      <c r="J208" s="23">
        <v>0</v>
      </c>
      <c r="K208" s="11">
        <v>750</v>
      </c>
      <c r="L208" s="23">
        <f t="shared" si="29"/>
        <v>750</v>
      </c>
      <c r="M208" s="27">
        <v>0</v>
      </c>
      <c r="N208" s="27">
        <v>0</v>
      </c>
      <c r="O208" s="366">
        <f t="shared" si="30"/>
        <v>2.674770198010028E-05</v>
      </c>
    </row>
    <row r="209" spans="1:15" ht="16.5" customHeight="1">
      <c r="A209" s="33"/>
      <c r="B209" s="34" t="s">
        <v>758</v>
      </c>
      <c r="C209" s="32" t="s">
        <v>759</v>
      </c>
      <c r="D209" s="11"/>
      <c r="E209" s="23">
        <v>13840</v>
      </c>
      <c r="F209" s="23">
        <v>0</v>
      </c>
      <c r="G209" s="23">
        <v>9183</v>
      </c>
      <c r="H209" s="23">
        <v>8569</v>
      </c>
      <c r="I209" s="23">
        <v>0</v>
      </c>
      <c r="J209" s="23">
        <v>0</v>
      </c>
      <c r="K209" s="11">
        <v>0</v>
      </c>
      <c r="L209" s="23">
        <f t="shared" si="29"/>
        <v>0</v>
      </c>
      <c r="M209" s="27">
        <v>0</v>
      </c>
      <c r="N209" s="27">
        <v>0</v>
      </c>
      <c r="O209" s="366">
        <f t="shared" si="30"/>
        <v>0</v>
      </c>
    </row>
    <row r="210" spans="1:15" ht="16.5" customHeight="1">
      <c r="A210" s="33"/>
      <c r="B210" s="34" t="s">
        <v>830</v>
      </c>
      <c r="C210" s="32" t="s">
        <v>831</v>
      </c>
      <c r="D210" s="11">
        <v>62500</v>
      </c>
      <c r="E210" s="23">
        <v>160</v>
      </c>
      <c r="F210" s="23">
        <v>0</v>
      </c>
      <c r="G210" s="23">
        <v>0</v>
      </c>
      <c r="H210" s="23">
        <v>160</v>
      </c>
      <c r="I210" s="23">
        <v>0</v>
      </c>
      <c r="J210" s="23">
        <v>0</v>
      </c>
      <c r="K210" s="11">
        <v>160</v>
      </c>
      <c r="L210" s="23">
        <f t="shared" si="29"/>
        <v>160</v>
      </c>
      <c r="M210" s="27">
        <v>0</v>
      </c>
      <c r="N210" s="27">
        <v>0</v>
      </c>
      <c r="O210" s="366">
        <f t="shared" si="30"/>
        <v>5.706176422421393E-06</v>
      </c>
    </row>
    <row r="211" spans="1:15" ht="16.5" customHeight="1">
      <c r="A211" s="33"/>
      <c r="B211" s="34" t="s">
        <v>799</v>
      </c>
      <c r="C211" s="32" t="s">
        <v>806</v>
      </c>
      <c r="D211" s="11"/>
      <c r="E211" s="23"/>
      <c r="F211" s="23"/>
      <c r="G211" s="23"/>
      <c r="H211" s="23"/>
      <c r="I211" s="23"/>
      <c r="J211" s="23"/>
      <c r="K211" s="11">
        <v>10420</v>
      </c>
      <c r="L211" s="23">
        <f t="shared" si="29"/>
        <v>10420</v>
      </c>
      <c r="M211" s="27">
        <v>0</v>
      </c>
      <c r="N211" s="27">
        <v>0</v>
      </c>
      <c r="O211" s="366">
        <f t="shared" si="30"/>
        <v>0.00037161473951019324</v>
      </c>
    </row>
    <row r="212" spans="1:15" ht="15.75" customHeight="1">
      <c r="A212" s="20" t="s">
        <v>264</v>
      </c>
      <c r="B212" s="30"/>
      <c r="C212" s="7" t="s">
        <v>918</v>
      </c>
      <c r="D212" s="10"/>
      <c r="E212" s="10"/>
      <c r="F212" s="10"/>
      <c r="G212" s="10"/>
      <c r="H212" s="10"/>
      <c r="I212" s="10"/>
      <c r="J212" s="10"/>
      <c r="K212" s="10">
        <f>K213</f>
        <v>21000</v>
      </c>
      <c r="L212" s="10">
        <f>L213</f>
        <v>21000</v>
      </c>
      <c r="M212" s="22">
        <f>M213</f>
        <v>0</v>
      </c>
      <c r="N212" s="22">
        <f>N213</f>
        <v>0</v>
      </c>
      <c r="O212" s="366">
        <f>K212/$K$606</f>
        <v>0.0007489356554428078</v>
      </c>
    </row>
    <row r="213" spans="1:15" ht="15" customHeight="1">
      <c r="A213" s="33"/>
      <c r="B213" s="34" t="s">
        <v>762</v>
      </c>
      <c r="C213" s="32" t="s">
        <v>265</v>
      </c>
      <c r="D213" s="11"/>
      <c r="E213" s="23"/>
      <c r="F213" s="23"/>
      <c r="G213" s="23"/>
      <c r="H213" s="23"/>
      <c r="I213" s="23"/>
      <c r="J213" s="23"/>
      <c r="K213" s="11">
        <v>21000</v>
      </c>
      <c r="L213" s="23">
        <f>K213</f>
        <v>21000</v>
      </c>
      <c r="M213" s="27">
        <v>0</v>
      </c>
      <c r="N213" s="27">
        <v>0</v>
      </c>
      <c r="O213" s="366">
        <f>K213/$K$606</f>
        <v>0.0007489356554428078</v>
      </c>
    </row>
    <row r="214" spans="1:15" ht="14.25" customHeight="1">
      <c r="A214" s="20" t="s">
        <v>844</v>
      </c>
      <c r="B214" s="30"/>
      <c r="C214" s="7" t="s">
        <v>347</v>
      </c>
      <c r="D214" s="10">
        <f aca="true" t="shared" si="31" ref="D214:N214">D215+D217</f>
        <v>70000</v>
      </c>
      <c r="E214" s="10">
        <f t="shared" si="31"/>
        <v>750000</v>
      </c>
      <c r="F214" s="10">
        <f t="shared" si="31"/>
        <v>0</v>
      </c>
      <c r="G214" s="10">
        <f t="shared" si="31"/>
        <v>0</v>
      </c>
      <c r="H214" s="10">
        <f>H215+H217</f>
        <v>496142</v>
      </c>
      <c r="I214" s="10">
        <f>I215+I217</f>
        <v>0</v>
      </c>
      <c r="J214" s="10">
        <f>J215+J217</f>
        <v>0</v>
      </c>
      <c r="K214" s="10">
        <f>K215+K217</f>
        <v>600000</v>
      </c>
      <c r="L214" s="10">
        <f t="shared" si="31"/>
        <v>0</v>
      </c>
      <c r="M214" s="22">
        <f>M215</f>
        <v>600000</v>
      </c>
      <c r="N214" s="22">
        <f t="shared" si="31"/>
        <v>0</v>
      </c>
      <c r="O214" s="366">
        <f t="shared" si="30"/>
        <v>0.021398161584080224</v>
      </c>
    </row>
    <row r="215" spans="1:15" ht="15" customHeight="1">
      <c r="A215" s="20" t="s">
        <v>845</v>
      </c>
      <c r="B215" s="30"/>
      <c r="C215" s="7" t="s">
        <v>846</v>
      </c>
      <c r="D215" s="10">
        <f>D216</f>
        <v>2700</v>
      </c>
      <c r="E215" s="10">
        <f>E216</f>
        <v>360000</v>
      </c>
      <c r="F215" s="10">
        <f>F216</f>
        <v>0</v>
      </c>
      <c r="G215" s="10">
        <f>G216</f>
        <v>0</v>
      </c>
      <c r="H215" s="10">
        <f aca="true" t="shared" si="32" ref="H215:N215">H216+H220</f>
        <v>496142</v>
      </c>
      <c r="I215" s="10">
        <f t="shared" si="32"/>
        <v>0</v>
      </c>
      <c r="J215" s="10">
        <f t="shared" si="32"/>
        <v>0</v>
      </c>
      <c r="K215" s="10">
        <f t="shared" si="32"/>
        <v>600000</v>
      </c>
      <c r="L215" s="10">
        <f t="shared" si="32"/>
        <v>0</v>
      </c>
      <c r="M215" s="10">
        <f t="shared" si="32"/>
        <v>600000</v>
      </c>
      <c r="N215" s="10">
        <f t="shared" si="32"/>
        <v>0</v>
      </c>
      <c r="O215" s="366">
        <f t="shared" si="30"/>
        <v>0.021398161584080224</v>
      </c>
    </row>
    <row r="216" spans="1:15" ht="14.25" customHeight="1">
      <c r="A216" s="33"/>
      <c r="B216" s="34" t="s">
        <v>847</v>
      </c>
      <c r="C216" s="32" t="s">
        <v>690</v>
      </c>
      <c r="D216" s="11">
        <v>2700</v>
      </c>
      <c r="E216" s="23">
        <v>360000</v>
      </c>
      <c r="F216" s="23">
        <v>0</v>
      </c>
      <c r="G216" s="23">
        <v>0</v>
      </c>
      <c r="H216" s="23">
        <v>463742</v>
      </c>
      <c r="I216" s="23">
        <v>0</v>
      </c>
      <c r="J216" s="23">
        <v>0</v>
      </c>
      <c r="K216" s="11">
        <v>600000</v>
      </c>
      <c r="L216" s="23">
        <v>0</v>
      </c>
      <c r="M216" s="27">
        <f>K216</f>
        <v>600000</v>
      </c>
      <c r="N216" s="27">
        <v>0</v>
      </c>
      <c r="O216" s="366">
        <f t="shared" si="30"/>
        <v>0.021398161584080224</v>
      </c>
    </row>
    <row r="217" spans="1:15" ht="23.25" customHeight="1" hidden="1">
      <c r="A217" s="20" t="s">
        <v>848</v>
      </c>
      <c r="B217" s="30"/>
      <c r="C217" s="7" t="s">
        <v>638</v>
      </c>
      <c r="D217" s="10">
        <f aca="true" t="shared" si="33" ref="D217:L217">D219+D220</f>
        <v>67300</v>
      </c>
      <c r="E217" s="10">
        <f t="shared" si="33"/>
        <v>390000</v>
      </c>
      <c r="F217" s="10">
        <f t="shared" si="33"/>
        <v>0</v>
      </c>
      <c r="G217" s="10">
        <f t="shared" si="33"/>
        <v>0</v>
      </c>
      <c r="H217" s="10">
        <f>H218+H219</f>
        <v>0</v>
      </c>
      <c r="I217" s="10">
        <f>I218+I219</f>
        <v>0</v>
      </c>
      <c r="J217" s="10">
        <f>J218+J219</f>
        <v>0</v>
      </c>
      <c r="K217" s="10"/>
      <c r="L217" s="10">
        <f t="shared" si="33"/>
        <v>0</v>
      </c>
      <c r="M217" s="10" t="e">
        <f>M218+M219</f>
        <v>#REF!</v>
      </c>
      <c r="N217" s="22">
        <f>N219</f>
        <v>0</v>
      </c>
      <c r="O217" s="366">
        <f t="shared" si="30"/>
        <v>0</v>
      </c>
    </row>
    <row r="218" spans="1:15" ht="21.75" customHeight="1" hidden="1">
      <c r="A218" s="20"/>
      <c r="B218" s="34" t="s">
        <v>849</v>
      </c>
      <c r="C218" s="32" t="s">
        <v>526</v>
      </c>
      <c r="D218" s="23"/>
      <c r="E218" s="23"/>
      <c r="F218" s="23"/>
      <c r="G218" s="23"/>
      <c r="H218" s="23">
        <v>0</v>
      </c>
      <c r="I218" s="23">
        <v>0</v>
      </c>
      <c r="J218" s="23">
        <v>0</v>
      </c>
      <c r="K218" s="11"/>
      <c r="L218" s="23">
        <v>0</v>
      </c>
      <c r="M218" s="24" t="e">
        <f>#REF!</f>
        <v>#REF!</v>
      </c>
      <c r="N218" s="24">
        <v>0</v>
      </c>
      <c r="O218" s="366">
        <f t="shared" si="30"/>
        <v>0</v>
      </c>
    </row>
    <row r="219" spans="1:15" ht="0.75" customHeight="1" hidden="1">
      <c r="A219" s="20"/>
      <c r="B219" s="34" t="s">
        <v>850</v>
      </c>
      <c r="C219" s="32" t="s">
        <v>527</v>
      </c>
      <c r="D219" s="11">
        <v>67300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11"/>
      <c r="L219" s="23">
        <v>0</v>
      </c>
      <c r="M219" s="27" t="e">
        <f>#REF!</f>
        <v>#REF!</v>
      </c>
      <c r="N219" s="27">
        <v>0</v>
      </c>
      <c r="O219" s="366">
        <f t="shared" si="30"/>
        <v>0</v>
      </c>
    </row>
    <row r="220" spans="1:15" ht="16.5" customHeight="1">
      <c r="A220" s="33"/>
      <c r="B220" s="34" t="s">
        <v>736</v>
      </c>
      <c r="C220" s="32" t="s">
        <v>826</v>
      </c>
      <c r="D220" s="11">
        <v>0</v>
      </c>
      <c r="E220" s="23">
        <v>390000</v>
      </c>
      <c r="F220" s="23">
        <v>0</v>
      </c>
      <c r="G220" s="23">
        <v>0</v>
      </c>
      <c r="H220" s="23">
        <v>32400</v>
      </c>
      <c r="I220" s="23">
        <v>0</v>
      </c>
      <c r="J220" s="23">
        <v>0</v>
      </c>
      <c r="K220" s="23">
        <v>0</v>
      </c>
      <c r="L220" s="23">
        <v>0</v>
      </c>
      <c r="M220" s="27">
        <f>K220</f>
        <v>0</v>
      </c>
      <c r="N220" s="24">
        <v>0</v>
      </c>
      <c r="O220" s="366">
        <f t="shared" si="30"/>
        <v>0</v>
      </c>
    </row>
    <row r="221" spans="1:15" ht="13.5" customHeight="1">
      <c r="A221" s="20" t="s">
        <v>851</v>
      </c>
      <c r="B221" s="30"/>
      <c r="C221" s="7" t="s">
        <v>852</v>
      </c>
      <c r="D221" s="10">
        <f aca="true" t="shared" si="34" ref="D221:N221">D222</f>
        <v>0</v>
      </c>
      <c r="E221" s="10">
        <f t="shared" si="34"/>
        <v>0</v>
      </c>
      <c r="F221" s="10">
        <f t="shared" si="34"/>
        <v>0</v>
      </c>
      <c r="G221" s="10">
        <f t="shared" si="34"/>
        <v>0</v>
      </c>
      <c r="H221" s="10">
        <f>H222</f>
        <v>53260</v>
      </c>
      <c r="I221" s="10">
        <f>I222</f>
        <v>0</v>
      </c>
      <c r="J221" s="10">
        <f>J222</f>
        <v>0</v>
      </c>
      <c r="K221" s="10">
        <f>K222</f>
        <v>363044</v>
      </c>
      <c r="L221" s="10">
        <f t="shared" si="34"/>
        <v>0</v>
      </c>
      <c r="M221" s="22">
        <f t="shared" si="34"/>
        <v>363044</v>
      </c>
      <c r="N221" s="22">
        <f t="shared" si="34"/>
        <v>0</v>
      </c>
      <c r="O221" s="366">
        <f t="shared" si="30"/>
        <v>0.012947456956884701</v>
      </c>
    </row>
    <row r="222" spans="1:15" ht="15" customHeight="1">
      <c r="A222" s="20" t="s">
        <v>853</v>
      </c>
      <c r="B222" s="30"/>
      <c r="C222" s="7" t="s">
        <v>854</v>
      </c>
      <c r="D222" s="10">
        <f>D223+D224+D225</f>
        <v>0</v>
      </c>
      <c r="E222" s="10">
        <f>E223+E224+E225</f>
        <v>0</v>
      </c>
      <c r="F222" s="10">
        <f aca="true" t="shared" si="35" ref="F222:N222">F223+F224</f>
        <v>0</v>
      </c>
      <c r="G222" s="10">
        <f t="shared" si="35"/>
        <v>0</v>
      </c>
      <c r="H222" s="10">
        <f t="shared" si="35"/>
        <v>53260</v>
      </c>
      <c r="I222" s="10">
        <f t="shared" si="35"/>
        <v>0</v>
      </c>
      <c r="J222" s="10">
        <f t="shared" si="35"/>
        <v>0</v>
      </c>
      <c r="K222" s="10">
        <f t="shared" si="35"/>
        <v>363044</v>
      </c>
      <c r="L222" s="10">
        <f t="shared" si="35"/>
        <v>0</v>
      </c>
      <c r="M222" s="10">
        <f t="shared" si="35"/>
        <v>363044</v>
      </c>
      <c r="N222" s="22">
        <f t="shared" si="35"/>
        <v>0</v>
      </c>
      <c r="O222" s="366">
        <f t="shared" si="30"/>
        <v>0.012947456956884701</v>
      </c>
    </row>
    <row r="223" spans="1:15" ht="14.25" customHeight="1">
      <c r="A223" s="33"/>
      <c r="B223" s="34" t="s">
        <v>855</v>
      </c>
      <c r="C223" s="32" t="s">
        <v>856</v>
      </c>
      <c r="D223" s="11">
        <v>0</v>
      </c>
      <c r="E223" s="23">
        <v>0</v>
      </c>
      <c r="F223" s="23">
        <v>0</v>
      </c>
      <c r="G223" s="23">
        <v>0</v>
      </c>
      <c r="H223" s="11">
        <v>18000</v>
      </c>
      <c r="I223" s="11"/>
      <c r="J223" s="11">
        <v>0</v>
      </c>
      <c r="K223" s="11">
        <v>30000</v>
      </c>
      <c r="L223" s="23">
        <v>0</v>
      </c>
      <c r="M223" s="27">
        <f>K223</f>
        <v>30000</v>
      </c>
      <c r="N223" s="27">
        <v>0</v>
      </c>
      <c r="O223" s="366">
        <f t="shared" si="30"/>
        <v>0.0010699080792040112</v>
      </c>
    </row>
    <row r="224" spans="1:15" ht="13.5" customHeight="1">
      <c r="A224" s="33"/>
      <c r="B224" s="34" t="s">
        <v>855</v>
      </c>
      <c r="C224" s="32" t="s">
        <v>857</v>
      </c>
      <c r="D224" s="11">
        <v>0</v>
      </c>
      <c r="E224" s="23">
        <v>0</v>
      </c>
      <c r="F224" s="23">
        <v>0</v>
      </c>
      <c r="G224" s="23">
        <v>0</v>
      </c>
      <c r="H224" s="11">
        <v>35260</v>
      </c>
      <c r="I224" s="11">
        <v>0</v>
      </c>
      <c r="J224" s="11">
        <v>0</v>
      </c>
      <c r="K224" s="11">
        <v>333044</v>
      </c>
      <c r="L224" s="23">
        <v>0</v>
      </c>
      <c r="M224" s="27">
        <f>K224</f>
        <v>333044</v>
      </c>
      <c r="N224" s="27">
        <v>0</v>
      </c>
      <c r="O224" s="366">
        <f t="shared" si="30"/>
        <v>0.01187754887768069</v>
      </c>
    </row>
    <row r="225" spans="1:15" ht="2.25" customHeight="1" hidden="1">
      <c r="A225" s="33"/>
      <c r="B225" s="34" t="s">
        <v>855</v>
      </c>
      <c r="C225" s="32" t="s">
        <v>346</v>
      </c>
      <c r="D225" s="11">
        <v>0</v>
      </c>
      <c r="E225" s="23"/>
      <c r="F225" s="23"/>
      <c r="G225" s="23"/>
      <c r="H225" s="11"/>
      <c r="I225" s="11"/>
      <c r="J225" s="11"/>
      <c r="K225" s="11">
        <v>0</v>
      </c>
      <c r="L225" s="23">
        <v>0</v>
      </c>
      <c r="M225" s="27">
        <f>K225</f>
        <v>0</v>
      </c>
      <c r="N225" s="27">
        <v>0</v>
      </c>
      <c r="O225" s="366">
        <f t="shared" si="30"/>
        <v>0</v>
      </c>
    </row>
    <row r="226" spans="1:15" ht="16.5" customHeight="1">
      <c r="A226" s="20" t="s">
        <v>858</v>
      </c>
      <c r="B226" s="30"/>
      <c r="C226" s="7" t="s">
        <v>859</v>
      </c>
      <c r="D226" s="10" t="e">
        <f>D227+D244+D256+D342+D289+D321+D355+D381</f>
        <v>#REF!</v>
      </c>
      <c r="E226" s="10" t="e">
        <f>E227+E244+E256+E342+E289+E321+E355+E381+E366+E374+E368+#REF!</f>
        <v>#REF!</v>
      </c>
      <c r="F226" s="10" t="e">
        <f>F227+F244+F256+F289+F321+F342+F355+F366+F368+F374+F381+#REF!</f>
        <v>#REF!</v>
      </c>
      <c r="G226" s="10" t="e">
        <f>G227+G244+G256+G289+G321+G342+G355+G366+G368+G374+G381+#REF!</f>
        <v>#REF!</v>
      </c>
      <c r="H226" s="10" t="e">
        <f aca="true" t="shared" si="36" ref="H226:N226">H227+H242+H244+H256+H279+H289+H355+H368+H374+H381</f>
        <v>#REF!</v>
      </c>
      <c r="I226" s="10" t="e">
        <f t="shared" si="36"/>
        <v>#REF!</v>
      </c>
      <c r="J226" s="10" t="e">
        <f t="shared" si="36"/>
        <v>#REF!</v>
      </c>
      <c r="K226" s="10">
        <f t="shared" si="36"/>
        <v>9591535</v>
      </c>
      <c r="L226" s="10">
        <f t="shared" si="36"/>
        <v>0</v>
      </c>
      <c r="M226" s="10">
        <f t="shared" si="36"/>
        <v>9579535</v>
      </c>
      <c r="N226" s="10">
        <f t="shared" si="36"/>
        <v>12000</v>
      </c>
      <c r="O226" s="366">
        <f t="shared" si="30"/>
        <v>0.3420686929489349</v>
      </c>
    </row>
    <row r="227" spans="1:15" ht="16.5" customHeight="1">
      <c r="A227" s="20" t="s">
        <v>860</v>
      </c>
      <c r="B227" s="30"/>
      <c r="C227" s="7" t="s">
        <v>861</v>
      </c>
      <c r="D227" s="10">
        <f>D228+D229+D230+D240</f>
        <v>1274233</v>
      </c>
      <c r="E227" s="10" t="e">
        <f>E228+E229+E230+E231+E233+E234+#REF!+E235+#REF!+E237+E238+E239</f>
        <v>#REF!</v>
      </c>
      <c r="F227" s="10" t="e">
        <f>F228+F229+F230+F231+F233+F234+#REF!+F235+#REF!+F237+F238+F239</f>
        <v>#REF!</v>
      </c>
      <c r="G227" s="10" t="e">
        <f>G228+G229+G230+G231+G233+G234+#REF!+G235+#REF!+G237+G238+G239</f>
        <v>#REF!</v>
      </c>
      <c r="H227" s="10" t="e">
        <f>H228+H229+H230+H231+H234+H235+H237+H238+H239+H241+#REF!</f>
        <v>#REF!</v>
      </c>
      <c r="I227" s="10" t="e">
        <f>I228+I229+I230+I231+I234+I235+I237+I238+I239+I241+#REF!</f>
        <v>#REF!</v>
      </c>
      <c r="J227" s="10" t="e">
        <f>J228+J229+J230+J231+J234+J235+J237+J238+J239+J241+#REF!</f>
        <v>#REF!</v>
      </c>
      <c r="K227" s="10">
        <f>K228+K229+K230+K231+K232+K234+K235+K236+K237+K238+K239+K241+K233</f>
        <v>915991</v>
      </c>
      <c r="L227" s="10">
        <f>L228+L229+L230+L231+L232+L234+L235+L236+L237+L238+L239+L241+L233</f>
        <v>0</v>
      </c>
      <c r="M227" s="10">
        <f>M228+M229+M230+M231+M232+M234+M235+M236+M237+M238+M239+M241+M233</f>
        <v>915991</v>
      </c>
      <c r="N227" s="10">
        <f>N228+N229+N230+N231+N232+N234+N235+N236+N237+N238+N239+N241+N233</f>
        <v>0</v>
      </c>
      <c r="O227" s="366">
        <f t="shared" si="30"/>
        <v>0.032667539045938714</v>
      </c>
    </row>
    <row r="228" spans="1:15" ht="17.25" customHeight="1">
      <c r="A228" s="20"/>
      <c r="B228" s="21" t="s">
        <v>720</v>
      </c>
      <c r="C228" s="14" t="s">
        <v>721</v>
      </c>
      <c r="D228" s="11">
        <v>866965</v>
      </c>
      <c r="E228" s="11">
        <v>823342</v>
      </c>
      <c r="F228" s="11">
        <v>45000</v>
      </c>
      <c r="G228" s="11">
        <v>24814</v>
      </c>
      <c r="H228" s="11">
        <v>355622</v>
      </c>
      <c r="I228" s="11">
        <v>0</v>
      </c>
      <c r="J228" s="11">
        <v>0</v>
      </c>
      <c r="K228" s="11">
        <v>492169</v>
      </c>
      <c r="L228" s="11">
        <v>0</v>
      </c>
      <c r="M228" s="27">
        <f>K228</f>
        <v>492169</v>
      </c>
      <c r="N228" s="27">
        <v>0</v>
      </c>
      <c r="O228" s="366">
        <f t="shared" si="30"/>
        <v>0.017552519647791965</v>
      </c>
    </row>
    <row r="229" spans="1:15" ht="15.75" customHeight="1">
      <c r="A229" s="20"/>
      <c r="B229" s="21" t="s">
        <v>724</v>
      </c>
      <c r="C229" s="14" t="s">
        <v>725</v>
      </c>
      <c r="D229" s="11">
        <v>75166</v>
      </c>
      <c r="E229" s="11">
        <v>81513</v>
      </c>
      <c r="F229" s="11">
        <v>0</v>
      </c>
      <c r="G229" s="11">
        <v>0</v>
      </c>
      <c r="H229" s="11">
        <v>40794</v>
      </c>
      <c r="I229" s="11">
        <v>0</v>
      </c>
      <c r="J229" s="11">
        <v>0</v>
      </c>
      <c r="K229" s="11">
        <v>33400</v>
      </c>
      <c r="L229" s="11">
        <v>0</v>
      </c>
      <c r="M229" s="27">
        <f aca="true" t="shared" si="37" ref="M229:M241">K229</f>
        <v>33400</v>
      </c>
      <c r="N229" s="27">
        <v>0</v>
      </c>
      <c r="O229" s="366">
        <f aca="true" t="shared" si="38" ref="O229:O264">K229/$K$606</f>
        <v>0.0011911643281804659</v>
      </c>
    </row>
    <row r="230" spans="1:15" ht="15" customHeight="1">
      <c r="A230" s="20"/>
      <c r="B230" s="28" t="s">
        <v>777</v>
      </c>
      <c r="C230" s="14" t="s">
        <v>754</v>
      </c>
      <c r="D230" s="11">
        <v>205528</v>
      </c>
      <c r="E230" s="11">
        <v>158209</v>
      </c>
      <c r="F230" s="11">
        <v>8046</v>
      </c>
      <c r="G230" s="11">
        <v>4948</v>
      </c>
      <c r="H230" s="11">
        <v>70500</v>
      </c>
      <c r="I230" s="11">
        <v>0</v>
      </c>
      <c r="J230" s="11">
        <v>0</v>
      </c>
      <c r="K230" s="11">
        <v>94000</v>
      </c>
      <c r="L230" s="11">
        <v>0</v>
      </c>
      <c r="M230" s="27">
        <f t="shared" si="37"/>
        <v>94000</v>
      </c>
      <c r="N230" s="27">
        <v>0</v>
      </c>
      <c r="O230" s="366">
        <f t="shared" si="38"/>
        <v>0.0033523786481725686</v>
      </c>
    </row>
    <row r="231" spans="1:15" ht="15" customHeight="1">
      <c r="A231" s="20"/>
      <c r="B231" s="28" t="s">
        <v>728</v>
      </c>
      <c r="C231" s="14" t="s">
        <v>729</v>
      </c>
      <c r="D231" s="11"/>
      <c r="E231" s="11">
        <v>21676</v>
      </c>
      <c r="F231" s="11">
        <v>1102</v>
      </c>
      <c r="G231" s="11">
        <v>680</v>
      </c>
      <c r="H231" s="11">
        <v>9660</v>
      </c>
      <c r="I231" s="11">
        <v>0</v>
      </c>
      <c r="J231" s="11">
        <v>0</v>
      </c>
      <c r="K231" s="11">
        <v>12900</v>
      </c>
      <c r="L231" s="11">
        <v>0</v>
      </c>
      <c r="M231" s="27">
        <f t="shared" si="37"/>
        <v>12900</v>
      </c>
      <c r="N231" s="27">
        <v>0</v>
      </c>
      <c r="O231" s="366">
        <f t="shared" si="38"/>
        <v>0.0004600604740577248</v>
      </c>
    </row>
    <row r="232" spans="1:15" ht="15" customHeight="1">
      <c r="A232" s="20"/>
      <c r="B232" s="28" t="s">
        <v>459</v>
      </c>
      <c r="C232" s="14" t="s">
        <v>460</v>
      </c>
      <c r="D232" s="11"/>
      <c r="E232" s="11"/>
      <c r="F232" s="11"/>
      <c r="G232" s="11"/>
      <c r="H232" s="11"/>
      <c r="I232" s="11"/>
      <c r="J232" s="11"/>
      <c r="K232" s="11">
        <v>2000</v>
      </c>
      <c r="L232" s="11">
        <v>0</v>
      </c>
      <c r="M232" s="27">
        <f>K232</f>
        <v>2000</v>
      </c>
      <c r="N232" s="27"/>
      <c r="O232" s="366">
        <f>K232/$K$606</f>
        <v>7.132720528026741E-05</v>
      </c>
    </row>
    <row r="233" spans="1:15" ht="15" customHeight="1">
      <c r="A233" s="20"/>
      <c r="B233" s="28" t="s">
        <v>711</v>
      </c>
      <c r="C233" s="14" t="s">
        <v>427</v>
      </c>
      <c r="D233" s="11"/>
      <c r="E233" s="11">
        <v>1974</v>
      </c>
      <c r="F233" s="11">
        <v>0</v>
      </c>
      <c r="G233" s="11">
        <v>0</v>
      </c>
      <c r="H233" s="11"/>
      <c r="I233" s="11"/>
      <c r="J233" s="11"/>
      <c r="K233" s="11">
        <v>0</v>
      </c>
      <c r="L233" s="11">
        <v>0</v>
      </c>
      <c r="M233" s="27">
        <f t="shared" si="37"/>
        <v>0</v>
      </c>
      <c r="N233" s="27">
        <v>0</v>
      </c>
      <c r="O233" s="366">
        <f t="shared" si="38"/>
        <v>0</v>
      </c>
    </row>
    <row r="234" spans="1:15" ht="16.5" customHeight="1">
      <c r="A234" s="20"/>
      <c r="B234" s="28" t="s">
        <v>730</v>
      </c>
      <c r="C234" s="14" t="s">
        <v>864</v>
      </c>
      <c r="D234" s="11"/>
      <c r="E234" s="11">
        <v>35892</v>
      </c>
      <c r="F234" s="11">
        <v>2000</v>
      </c>
      <c r="G234" s="11">
        <v>0</v>
      </c>
      <c r="H234" s="11">
        <v>22000</v>
      </c>
      <c r="I234" s="11">
        <v>0</v>
      </c>
      <c r="J234" s="11">
        <v>0</v>
      </c>
      <c r="K234" s="11">
        <v>42500</v>
      </c>
      <c r="L234" s="11">
        <v>0</v>
      </c>
      <c r="M234" s="27">
        <f t="shared" si="37"/>
        <v>42500</v>
      </c>
      <c r="N234" s="27">
        <v>0</v>
      </c>
      <c r="O234" s="366">
        <f t="shared" si="38"/>
        <v>0.0015157031122056827</v>
      </c>
    </row>
    <row r="235" spans="1:15" ht="16.5" customHeight="1">
      <c r="A235" s="20"/>
      <c r="B235" s="28" t="s">
        <v>732</v>
      </c>
      <c r="C235" s="14" t="s">
        <v>824</v>
      </c>
      <c r="D235" s="11"/>
      <c r="E235" s="11">
        <v>12822</v>
      </c>
      <c r="F235" s="11">
        <v>0</v>
      </c>
      <c r="G235" s="11">
        <v>0</v>
      </c>
      <c r="H235" s="11">
        <v>8850</v>
      </c>
      <c r="I235" s="11">
        <v>0</v>
      </c>
      <c r="J235" s="11">
        <v>0</v>
      </c>
      <c r="K235" s="11">
        <v>9000</v>
      </c>
      <c r="L235" s="11">
        <v>0</v>
      </c>
      <c r="M235" s="27">
        <f t="shared" si="37"/>
        <v>9000</v>
      </c>
      <c r="N235" s="27">
        <v>0</v>
      </c>
      <c r="O235" s="366">
        <f t="shared" si="38"/>
        <v>0.00032097242376120336</v>
      </c>
    </row>
    <row r="236" spans="1:15" ht="16.5" customHeight="1">
      <c r="A236" s="20"/>
      <c r="B236" s="28" t="s">
        <v>734</v>
      </c>
      <c r="C236" s="14" t="s">
        <v>735</v>
      </c>
      <c r="D236" s="11"/>
      <c r="E236" s="11"/>
      <c r="F236" s="11"/>
      <c r="G236" s="11"/>
      <c r="H236" s="11"/>
      <c r="I236" s="11"/>
      <c r="J236" s="11"/>
      <c r="K236" s="11">
        <v>0</v>
      </c>
      <c r="L236" s="11">
        <v>0</v>
      </c>
      <c r="M236" s="27">
        <f>K236</f>
        <v>0</v>
      </c>
      <c r="N236" s="27">
        <v>0</v>
      </c>
      <c r="O236" s="366">
        <f>K236/$K$606</f>
        <v>0</v>
      </c>
    </row>
    <row r="237" spans="1:15" ht="16.5" customHeight="1">
      <c r="A237" s="20"/>
      <c r="B237" s="28" t="s">
        <v>736</v>
      </c>
      <c r="C237" s="14" t="s">
        <v>826</v>
      </c>
      <c r="D237" s="11"/>
      <c r="E237" s="11">
        <v>9517</v>
      </c>
      <c r="F237" s="11">
        <v>0</v>
      </c>
      <c r="G237" s="11">
        <v>0</v>
      </c>
      <c r="H237" s="11">
        <v>5400</v>
      </c>
      <c r="I237" s="11">
        <v>0</v>
      </c>
      <c r="J237" s="11">
        <v>0</v>
      </c>
      <c r="K237" s="11">
        <v>15600</v>
      </c>
      <c r="L237" s="11">
        <v>0</v>
      </c>
      <c r="M237" s="27">
        <f t="shared" si="37"/>
        <v>15600</v>
      </c>
      <c r="N237" s="27">
        <v>0</v>
      </c>
      <c r="O237" s="366">
        <f t="shared" si="38"/>
        <v>0.0005563522011860858</v>
      </c>
    </row>
    <row r="238" spans="1:15" ht="15" customHeight="1">
      <c r="A238" s="20"/>
      <c r="B238" s="28" t="s">
        <v>738</v>
      </c>
      <c r="C238" s="14" t="s">
        <v>739</v>
      </c>
      <c r="D238" s="11"/>
      <c r="E238" s="11">
        <v>229</v>
      </c>
      <c r="F238" s="11">
        <v>800</v>
      </c>
      <c r="G238" s="11">
        <v>0</v>
      </c>
      <c r="H238" s="11">
        <v>200</v>
      </c>
      <c r="I238" s="11">
        <v>0</v>
      </c>
      <c r="J238" s="11">
        <v>0</v>
      </c>
      <c r="K238" s="11">
        <v>1000</v>
      </c>
      <c r="L238" s="11">
        <v>0</v>
      </c>
      <c r="M238" s="27">
        <f t="shared" si="37"/>
        <v>1000</v>
      </c>
      <c r="N238" s="27">
        <v>0</v>
      </c>
      <c r="O238" s="366">
        <f t="shared" si="38"/>
        <v>3.5663602640133705E-05</v>
      </c>
    </row>
    <row r="239" spans="1:15" ht="17.25" customHeight="1">
      <c r="A239" s="20"/>
      <c r="B239" s="28" t="s">
        <v>742</v>
      </c>
      <c r="C239" s="14" t="s">
        <v>743</v>
      </c>
      <c r="D239" s="11"/>
      <c r="E239" s="11">
        <v>60464</v>
      </c>
      <c r="F239" s="11">
        <v>0</v>
      </c>
      <c r="G239" s="11">
        <v>0</v>
      </c>
      <c r="H239" s="11">
        <v>17534</v>
      </c>
      <c r="I239" s="11">
        <v>0</v>
      </c>
      <c r="J239" s="11">
        <v>0</v>
      </c>
      <c r="K239" s="11">
        <v>29695</v>
      </c>
      <c r="L239" s="11">
        <v>0</v>
      </c>
      <c r="M239" s="27">
        <f t="shared" si="37"/>
        <v>29695</v>
      </c>
      <c r="N239" s="27">
        <v>0</v>
      </c>
      <c r="O239" s="366">
        <f t="shared" si="38"/>
        <v>0.0010590306803987704</v>
      </c>
    </row>
    <row r="240" spans="1:15" ht="18.75" customHeight="1" hidden="1">
      <c r="A240" s="20"/>
      <c r="B240" s="21"/>
      <c r="C240" s="11" t="s">
        <v>867</v>
      </c>
      <c r="D240" s="11">
        <v>126574</v>
      </c>
      <c r="E240" s="11"/>
      <c r="F240" s="11"/>
      <c r="G240" s="11"/>
      <c r="H240" s="11"/>
      <c r="I240" s="11"/>
      <c r="J240" s="11"/>
      <c r="K240" s="11"/>
      <c r="L240" s="11"/>
      <c r="M240" s="27">
        <f t="shared" si="37"/>
        <v>0</v>
      </c>
      <c r="N240" s="27">
        <v>0</v>
      </c>
      <c r="O240" s="366">
        <f t="shared" si="38"/>
        <v>0</v>
      </c>
    </row>
    <row r="241" spans="1:15" ht="15.75" customHeight="1">
      <c r="A241" s="20"/>
      <c r="B241" s="21" t="s">
        <v>868</v>
      </c>
      <c r="C241" s="298" t="s">
        <v>131</v>
      </c>
      <c r="D241" s="11"/>
      <c r="E241" s="11"/>
      <c r="F241" s="11"/>
      <c r="G241" s="11"/>
      <c r="H241" s="11">
        <v>181417</v>
      </c>
      <c r="I241" s="11">
        <v>0</v>
      </c>
      <c r="J241" s="11">
        <v>0</v>
      </c>
      <c r="K241" s="11">
        <v>183727</v>
      </c>
      <c r="L241" s="11">
        <v>0</v>
      </c>
      <c r="M241" s="27">
        <f t="shared" si="37"/>
        <v>183727</v>
      </c>
      <c r="N241" s="27">
        <v>0</v>
      </c>
      <c r="O241" s="366">
        <f t="shared" si="38"/>
        <v>0.0065523667222638455</v>
      </c>
    </row>
    <row r="242" spans="1:15" ht="14.25" customHeight="1">
      <c r="A242" s="20" t="s">
        <v>130</v>
      </c>
      <c r="B242" s="30"/>
      <c r="C242" s="7" t="s">
        <v>129</v>
      </c>
      <c r="D242" s="10"/>
      <c r="E242" s="10"/>
      <c r="F242" s="10"/>
      <c r="G242" s="10"/>
      <c r="H242" s="10">
        <f aca="true" t="shared" si="39" ref="H242:N242">H243</f>
        <v>65981</v>
      </c>
      <c r="I242" s="10">
        <f t="shared" si="39"/>
        <v>0</v>
      </c>
      <c r="J242" s="10">
        <f t="shared" si="39"/>
        <v>0</v>
      </c>
      <c r="K242" s="10">
        <f t="shared" si="39"/>
        <v>88543</v>
      </c>
      <c r="L242" s="10">
        <f t="shared" si="39"/>
        <v>0</v>
      </c>
      <c r="M242" s="10">
        <f t="shared" si="39"/>
        <v>88543</v>
      </c>
      <c r="N242" s="10">
        <f t="shared" si="39"/>
        <v>0</v>
      </c>
      <c r="O242" s="366">
        <f t="shared" si="38"/>
        <v>0.003157762368565359</v>
      </c>
    </row>
    <row r="243" spans="1:15" ht="15" customHeight="1">
      <c r="A243" s="20"/>
      <c r="B243" s="21" t="s">
        <v>868</v>
      </c>
      <c r="C243" s="298" t="s">
        <v>131</v>
      </c>
      <c r="D243" s="11"/>
      <c r="E243" s="11"/>
      <c r="F243" s="11"/>
      <c r="G243" s="11"/>
      <c r="H243" s="11">
        <v>65981</v>
      </c>
      <c r="I243" s="11">
        <v>0</v>
      </c>
      <c r="J243" s="11">
        <v>0</v>
      </c>
      <c r="K243" s="11">
        <v>88543</v>
      </c>
      <c r="L243" s="11">
        <v>0</v>
      </c>
      <c r="M243" s="27">
        <f>K243</f>
        <v>88543</v>
      </c>
      <c r="N243" s="27">
        <v>0</v>
      </c>
      <c r="O243" s="366">
        <f t="shared" si="38"/>
        <v>0.003157762368565359</v>
      </c>
    </row>
    <row r="244" spans="1:15" ht="14.25" customHeight="1">
      <c r="A244" s="20" t="s">
        <v>870</v>
      </c>
      <c r="B244" s="30"/>
      <c r="C244" s="7" t="s">
        <v>871</v>
      </c>
      <c r="D244" s="10">
        <f>D245+D246+D247+D249</f>
        <v>276119</v>
      </c>
      <c r="E244" s="10" t="e">
        <f>E245+E246+E247+E248+E249+E250+#REF!+#REF!+E254</f>
        <v>#REF!</v>
      </c>
      <c r="F244" s="10" t="e">
        <f>F245+F246+F247+F248+F249+F250+#REF!+#REF!+F254</f>
        <v>#REF!</v>
      </c>
      <c r="G244" s="10" t="e">
        <f>G245+G246+G247+G248+G249+G250+#REF!+#REF!+G254</f>
        <v>#REF!</v>
      </c>
      <c r="H244" s="10">
        <f>H245+H246+H247+H248+H250+H254+H255+H252</f>
        <v>416271</v>
      </c>
      <c r="I244" s="10">
        <f>I245+I246+I247+I248+I250+I254+I255+I252</f>
        <v>0</v>
      </c>
      <c r="J244" s="10">
        <f>J245+J246+J247+J248+J250+J254+J255+J252</f>
        <v>0</v>
      </c>
      <c r="K244" s="10">
        <f>K245+K246+K247+K248+K250+K254+K255+K252+K253+K249+K251</f>
        <v>471597</v>
      </c>
      <c r="L244" s="10">
        <f>L245+L246+L247+L248+L250+L254+L255+L252+L253+L249+L251</f>
        <v>0</v>
      </c>
      <c r="M244" s="10">
        <f>M245+M246+M247+M248+M250+M254+M255+M252+M253+M249+M251</f>
        <v>471597</v>
      </c>
      <c r="N244" s="10">
        <f>N245+N246+N247+N248+N250+N254+N255+N252+N253+N249+N251</f>
        <v>0</v>
      </c>
      <c r="O244" s="366">
        <f t="shared" si="38"/>
        <v>0.016818848014279134</v>
      </c>
    </row>
    <row r="245" spans="1:15" ht="15" customHeight="1">
      <c r="A245" s="20"/>
      <c r="B245" s="21" t="s">
        <v>720</v>
      </c>
      <c r="C245" s="14" t="s">
        <v>721</v>
      </c>
      <c r="D245" s="11">
        <v>212518</v>
      </c>
      <c r="E245" s="11">
        <v>225071</v>
      </c>
      <c r="F245" s="11">
        <v>24814</v>
      </c>
      <c r="G245" s="11">
        <v>0</v>
      </c>
      <c r="H245" s="11">
        <v>279732</v>
      </c>
      <c r="I245" s="11">
        <v>0</v>
      </c>
      <c r="J245" s="11">
        <v>0</v>
      </c>
      <c r="K245" s="11">
        <v>260679</v>
      </c>
      <c r="L245" s="11">
        <v>0</v>
      </c>
      <c r="M245" s="27">
        <f>K245</f>
        <v>260679</v>
      </c>
      <c r="N245" s="27">
        <v>0</v>
      </c>
      <c r="O245" s="366">
        <f t="shared" si="38"/>
        <v>0.009296752272627414</v>
      </c>
    </row>
    <row r="246" spans="1:15" ht="15" customHeight="1">
      <c r="A246" s="20"/>
      <c r="B246" s="21" t="s">
        <v>724</v>
      </c>
      <c r="C246" s="14" t="s">
        <v>725</v>
      </c>
      <c r="D246" s="11">
        <v>4145</v>
      </c>
      <c r="E246" s="11">
        <v>6923</v>
      </c>
      <c r="F246" s="11">
        <v>0</v>
      </c>
      <c r="G246" s="11">
        <v>0</v>
      </c>
      <c r="H246" s="23">
        <v>10410</v>
      </c>
      <c r="I246" s="23">
        <v>0</v>
      </c>
      <c r="J246" s="23">
        <v>0</v>
      </c>
      <c r="K246" s="11">
        <v>20464</v>
      </c>
      <c r="L246" s="11">
        <v>0</v>
      </c>
      <c r="M246" s="27">
        <f aca="true" t="shared" si="40" ref="M246:M255">K246</f>
        <v>20464</v>
      </c>
      <c r="N246" s="27">
        <v>0</v>
      </c>
      <c r="O246" s="366">
        <f t="shared" si="38"/>
        <v>0.0007298199644276962</v>
      </c>
    </row>
    <row r="247" spans="1:15" ht="15" customHeight="1">
      <c r="A247" s="20"/>
      <c r="B247" s="28" t="s">
        <v>777</v>
      </c>
      <c r="C247" s="14" t="s">
        <v>754</v>
      </c>
      <c r="D247" s="11">
        <v>44040</v>
      </c>
      <c r="E247" s="11">
        <v>40253</v>
      </c>
      <c r="F247" s="11">
        <v>4948</v>
      </c>
      <c r="G247" s="11">
        <v>0</v>
      </c>
      <c r="H247" s="11">
        <v>51300</v>
      </c>
      <c r="I247" s="11">
        <v>0</v>
      </c>
      <c r="J247" s="11">
        <v>0</v>
      </c>
      <c r="K247" s="11">
        <v>47600</v>
      </c>
      <c r="L247" s="11">
        <v>0</v>
      </c>
      <c r="M247" s="27">
        <f t="shared" si="40"/>
        <v>47600</v>
      </c>
      <c r="N247" s="27">
        <v>0</v>
      </c>
      <c r="O247" s="366">
        <f t="shared" si="38"/>
        <v>0.0016975874856703644</v>
      </c>
    </row>
    <row r="248" spans="1:15" ht="14.25" customHeight="1">
      <c r="A248" s="20"/>
      <c r="B248" s="28" t="s">
        <v>728</v>
      </c>
      <c r="C248" s="14" t="s">
        <v>729</v>
      </c>
      <c r="D248" s="11"/>
      <c r="E248" s="11">
        <v>5538</v>
      </c>
      <c r="F248" s="11">
        <v>680</v>
      </c>
      <c r="G248" s="11">
        <v>0</v>
      </c>
      <c r="H248" s="11">
        <v>7030</v>
      </c>
      <c r="I248" s="11">
        <v>0</v>
      </c>
      <c r="J248" s="11">
        <v>0</v>
      </c>
      <c r="K248" s="11">
        <v>6500</v>
      </c>
      <c r="L248" s="11">
        <v>0</v>
      </c>
      <c r="M248" s="27">
        <f t="shared" si="40"/>
        <v>6500</v>
      </c>
      <c r="N248" s="27">
        <v>0</v>
      </c>
      <c r="O248" s="366">
        <f t="shared" si="38"/>
        <v>0.0002318134171608691</v>
      </c>
    </row>
    <row r="249" spans="1:15" ht="13.5" customHeight="1" hidden="1">
      <c r="A249" s="20"/>
      <c r="B249" s="21" t="s">
        <v>711</v>
      </c>
      <c r="C249" s="14" t="s">
        <v>427</v>
      </c>
      <c r="D249" s="11">
        <v>15416</v>
      </c>
      <c r="E249" s="11">
        <v>353</v>
      </c>
      <c r="F249" s="11">
        <v>0</v>
      </c>
      <c r="G249" s="11">
        <v>0</v>
      </c>
      <c r="H249" s="11"/>
      <c r="I249" s="11"/>
      <c r="J249" s="11"/>
      <c r="K249" s="11">
        <v>0</v>
      </c>
      <c r="L249" s="11">
        <v>0</v>
      </c>
      <c r="M249" s="27">
        <f t="shared" si="40"/>
        <v>0</v>
      </c>
      <c r="N249" s="27">
        <v>0</v>
      </c>
      <c r="O249" s="366">
        <f t="shared" si="38"/>
        <v>0</v>
      </c>
    </row>
    <row r="250" spans="1:15" ht="12.75" customHeight="1">
      <c r="A250" s="20"/>
      <c r="B250" s="21" t="s">
        <v>730</v>
      </c>
      <c r="C250" s="11" t="s">
        <v>872</v>
      </c>
      <c r="D250" s="11"/>
      <c r="E250" s="11">
        <v>1700</v>
      </c>
      <c r="F250" s="11">
        <v>0</v>
      </c>
      <c r="G250" s="11">
        <v>0</v>
      </c>
      <c r="H250" s="11">
        <v>300</v>
      </c>
      <c r="I250" s="11">
        <v>0</v>
      </c>
      <c r="J250" s="11">
        <v>0</v>
      </c>
      <c r="K250" s="11">
        <v>3100</v>
      </c>
      <c r="L250" s="11">
        <v>0</v>
      </c>
      <c r="M250" s="27">
        <f t="shared" si="40"/>
        <v>3100</v>
      </c>
      <c r="N250" s="27">
        <v>0</v>
      </c>
      <c r="O250" s="366">
        <f t="shared" si="38"/>
        <v>0.0001105571681844145</v>
      </c>
    </row>
    <row r="251" spans="1:15" ht="14.25" customHeight="1">
      <c r="A251" s="20"/>
      <c r="B251" s="21" t="s">
        <v>732</v>
      </c>
      <c r="C251" s="11" t="s">
        <v>824</v>
      </c>
      <c r="D251" s="11"/>
      <c r="E251" s="11"/>
      <c r="F251" s="11"/>
      <c r="G251" s="11"/>
      <c r="H251" s="11"/>
      <c r="I251" s="11"/>
      <c r="J251" s="11"/>
      <c r="K251" s="11">
        <v>2000</v>
      </c>
      <c r="L251" s="11">
        <v>0</v>
      </c>
      <c r="M251" s="27">
        <f t="shared" si="40"/>
        <v>2000</v>
      </c>
      <c r="N251" s="27">
        <v>0</v>
      </c>
      <c r="O251" s="366">
        <f t="shared" si="38"/>
        <v>7.132720528026741E-05</v>
      </c>
    </row>
    <row r="252" spans="1:15" ht="14.25" customHeight="1">
      <c r="A252" s="20"/>
      <c r="B252" s="21" t="s">
        <v>736</v>
      </c>
      <c r="C252" s="11" t="s">
        <v>826</v>
      </c>
      <c r="D252" s="11"/>
      <c r="E252" s="11"/>
      <c r="F252" s="11"/>
      <c r="G252" s="11"/>
      <c r="H252" s="11">
        <v>1700</v>
      </c>
      <c r="I252" s="11">
        <v>0</v>
      </c>
      <c r="J252" s="11">
        <v>0</v>
      </c>
      <c r="K252" s="11">
        <v>3500</v>
      </c>
      <c r="L252" s="11">
        <v>0</v>
      </c>
      <c r="M252" s="27">
        <f t="shared" si="40"/>
        <v>3500</v>
      </c>
      <c r="N252" s="27">
        <v>0</v>
      </c>
      <c r="O252" s="366">
        <f t="shared" si="38"/>
        <v>0.00012482260924046796</v>
      </c>
    </row>
    <row r="253" spans="1:15" ht="14.25" customHeight="1" hidden="1">
      <c r="A253" s="20"/>
      <c r="B253" s="21" t="s">
        <v>738</v>
      </c>
      <c r="C253" s="11" t="s">
        <v>739</v>
      </c>
      <c r="D253" s="11"/>
      <c r="E253" s="11"/>
      <c r="F253" s="11"/>
      <c r="G253" s="11"/>
      <c r="H253" s="11"/>
      <c r="I253" s="11"/>
      <c r="J253" s="11"/>
      <c r="K253" s="11">
        <v>0</v>
      </c>
      <c r="L253" s="11">
        <v>0</v>
      </c>
      <c r="M253" s="27">
        <f t="shared" si="40"/>
        <v>0</v>
      </c>
      <c r="N253" s="27">
        <v>0</v>
      </c>
      <c r="O253" s="366">
        <f t="shared" si="38"/>
        <v>0</v>
      </c>
    </row>
    <row r="254" spans="1:15" ht="15" customHeight="1">
      <c r="A254" s="20"/>
      <c r="B254" s="21" t="s">
        <v>742</v>
      </c>
      <c r="C254" s="11" t="s">
        <v>743</v>
      </c>
      <c r="D254" s="11"/>
      <c r="E254" s="11">
        <v>15689</v>
      </c>
      <c r="F254" s="11">
        <v>0</v>
      </c>
      <c r="G254" s="11">
        <v>0</v>
      </c>
      <c r="H254" s="23">
        <v>14740</v>
      </c>
      <c r="I254" s="23">
        <v>0</v>
      </c>
      <c r="J254" s="23">
        <v>0</v>
      </c>
      <c r="K254" s="11">
        <v>12924</v>
      </c>
      <c r="L254" s="11">
        <v>0</v>
      </c>
      <c r="M254" s="27">
        <f t="shared" si="40"/>
        <v>12924</v>
      </c>
      <c r="N254" s="27">
        <v>0</v>
      </c>
      <c r="O254" s="366">
        <f t="shared" si="38"/>
        <v>0.00046091640052108805</v>
      </c>
    </row>
    <row r="255" spans="1:15" ht="14.25" customHeight="1">
      <c r="A255" s="20"/>
      <c r="B255" s="21" t="s">
        <v>868</v>
      </c>
      <c r="C255" s="298" t="s">
        <v>131</v>
      </c>
      <c r="D255" s="11"/>
      <c r="E255" s="11"/>
      <c r="F255" s="11"/>
      <c r="G255" s="11"/>
      <c r="H255" s="11">
        <v>51059</v>
      </c>
      <c r="I255" s="11">
        <v>0</v>
      </c>
      <c r="J255" s="11">
        <v>0</v>
      </c>
      <c r="K255" s="11">
        <v>114830</v>
      </c>
      <c r="L255" s="11">
        <v>0</v>
      </c>
      <c r="M255" s="27">
        <f t="shared" si="40"/>
        <v>114830</v>
      </c>
      <c r="N255" s="27">
        <v>0</v>
      </c>
      <c r="O255" s="366">
        <f t="shared" si="38"/>
        <v>0.004095251491166554</v>
      </c>
    </row>
    <row r="256" spans="1:15" ht="15" customHeight="1">
      <c r="A256" s="20" t="s">
        <v>873</v>
      </c>
      <c r="B256" s="21"/>
      <c r="C256" s="10" t="s">
        <v>874</v>
      </c>
      <c r="D256" s="10" t="e">
        <f>D257+D258+D259+D261+D264+#REF!</f>
        <v>#REF!</v>
      </c>
      <c r="E256" s="10" t="e">
        <f>E257+E258+E259+E260+E261+E263+E264+E266+E267+E268+E269+E271+E272+E273+E275+#REF!</f>
        <v>#REF!</v>
      </c>
      <c r="F256" s="10" t="e">
        <f>F257+F258+F259+F260+F261+F263+F264+F266+F267+F268+F269+F271+F272+F273+F275+#REF!</f>
        <v>#REF!</v>
      </c>
      <c r="G256" s="10" t="e">
        <f>G257+G258+G259+G260+G261+G263+G264+G266+G267+G268+G269+G271+G272+G273+G275+#REF!</f>
        <v>#REF!</v>
      </c>
      <c r="H256" s="10">
        <f>H257+H258+H259+H260+H262+H263+H264+H265+H266+H267+H268+H269+H271+H272+H273+H275+H274</f>
        <v>2165973</v>
      </c>
      <c r="I256" s="10">
        <f>I257+I258+I259+I260+I262+I263+I264+I265+I266+I267+I268+I269+I271+I272+I273+I275+I274</f>
        <v>0</v>
      </c>
      <c r="J256" s="10">
        <f>J257+J258+J259+J260+J262+J263+J264+J265+J266+J267+J268+J269+J271+J272+J273+J275+J274</f>
        <v>0</v>
      </c>
      <c r="K256" s="10">
        <f>K257+K258+K259+K260+K262+K263+K264+K265+K266+K267+K268+K269+K270+K271+K272+K273+K275+K274</f>
        <v>2088165</v>
      </c>
      <c r="L256" s="10">
        <f>L257+L258+L259+L260+L262+L263+L264+L265+L266+L267+L268+L269+L270+L271+L272+L273+L275+L274</f>
        <v>0</v>
      </c>
      <c r="M256" s="10">
        <f>M257+M258+M259+M260+M262+M263+M264+M265+M266+M267+M268+M269+M270+M271+M272+M273+M275+M274</f>
        <v>2088165</v>
      </c>
      <c r="N256" s="10">
        <f>N257+N258+N259+N260+N262+N263+N264+N265+N266+N267+N268+N269+N270+N271+N272+N273+N275+N274</f>
        <v>0</v>
      </c>
      <c r="O256" s="366">
        <f t="shared" si="38"/>
        <v>0.0744714868070348</v>
      </c>
    </row>
    <row r="257" spans="1:15" ht="16.5" customHeight="1">
      <c r="A257" s="559"/>
      <c r="B257" s="21" t="s">
        <v>720</v>
      </c>
      <c r="C257" s="14" t="s">
        <v>721</v>
      </c>
      <c r="D257" s="11">
        <v>1980166</v>
      </c>
      <c r="E257" s="11">
        <v>1975260</v>
      </c>
      <c r="F257" s="11">
        <v>27891</v>
      </c>
      <c r="G257" s="11">
        <v>26283</v>
      </c>
      <c r="H257" s="11">
        <v>1137604</v>
      </c>
      <c r="I257" s="11">
        <v>0</v>
      </c>
      <c r="J257" s="11">
        <v>0</v>
      </c>
      <c r="K257" s="11">
        <v>1309737</v>
      </c>
      <c r="L257" s="11">
        <v>0</v>
      </c>
      <c r="M257" s="27">
        <f>K257</f>
        <v>1309737</v>
      </c>
      <c r="N257" s="27">
        <v>0</v>
      </c>
      <c r="O257" s="366">
        <f t="shared" si="38"/>
        <v>0.0467099399310808</v>
      </c>
    </row>
    <row r="258" spans="1:15" ht="14.25" customHeight="1">
      <c r="A258" s="559"/>
      <c r="B258" s="21" t="s">
        <v>724</v>
      </c>
      <c r="C258" s="14" t="s">
        <v>725</v>
      </c>
      <c r="D258" s="11">
        <v>123848</v>
      </c>
      <c r="E258" s="11">
        <v>159042</v>
      </c>
      <c r="F258" s="11">
        <v>0</v>
      </c>
      <c r="G258" s="11">
        <v>0</v>
      </c>
      <c r="H258" s="11">
        <v>76054</v>
      </c>
      <c r="I258" s="11">
        <v>0</v>
      </c>
      <c r="J258" s="11">
        <v>0</v>
      </c>
      <c r="K258" s="11">
        <v>94200</v>
      </c>
      <c r="L258" s="11">
        <v>0</v>
      </c>
      <c r="M258" s="27">
        <f aca="true" t="shared" si="41" ref="M258:M278">K258</f>
        <v>94200</v>
      </c>
      <c r="N258" s="27">
        <v>0</v>
      </c>
      <c r="O258" s="366">
        <f t="shared" si="38"/>
        <v>0.003359511368700595</v>
      </c>
    </row>
    <row r="259" spans="1:15" ht="15" customHeight="1">
      <c r="A259" s="559"/>
      <c r="B259" s="28" t="s">
        <v>777</v>
      </c>
      <c r="C259" s="14" t="s">
        <v>793</v>
      </c>
      <c r="D259" s="11">
        <v>414136</v>
      </c>
      <c r="E259" s="11">
        <v>370552</v>
      </c>
      <c r="F259" s="11">
        <v>2840</v>
      </c>
      <c r="G259" s="11">
        <v>2000</v>
      </c>
      <c r="H259" s="11">
        <v>214800</v>
      </c>
      <c r="I259" s="11">
        <v>0</v>
      </c>
      <c r="J259" s="11">
        <v>0</v>
      </c>
      <c r="K259" s="11">
        <v>235858</v>
      </c>
      <c r="L259" s="11">
        <v>0</v>
      </c>
      <c r="M259" s="27">
        <f t="shared" si="41"/>
        <v>235858</v>
      </c>
      <c r="N259" s="27">
        <v>0</v>
      </c>
      <c r="O259" s="366">
        <f t="shared" si="38"/>
        <v>0.008411545991496655</v>
      </c>
    </row>
    <row r="260" spans="1:15" ht="16.5" customHeight="1">
      <c r="A260" s="559"/>
      <c r="B260" s="28" t="s">
        <v>728</v>
      </c>
      <c r="C260" s="14" t="s">
        <v>729</v>
      </c>
      <c r="D260" s="11"/>
      <c r="E260" s="11">
        <v>50795</v>
      </c>
      <c r="F260" s="11">
        <v>390</v>
      </c>
      <c r="G260" s="11">
        <v>165</v>
      </c>
      <c r="H260" s="11">
        <v>29560</v>
      </c>
      <c r="I260" s="11">
        <v>0</v>
      </c>
      <c r="J260" s="11">
        <v>0</v>
      </c>
      <c r="K260" s="11">
        <v>31891</v>
      </c>
      <c r="L260" s="11">
        <v>0</v>
      </c>
      <c r="M260" s="27">
        <f t="shared" si="41"/>
        <v>31891</v>
      </c>
      <c r="N260" s="27">
        <v>0</v>
      </c>
      <c r="O260" s="366">
        <f t="shared" si="38"/>
        <v>0.001137347951796504</v>
      </c>
    </row>
    <row r="261" spans="1:15" ht="13.5" customHeight="1" hidden="1">
      <c r="A261" s="559"/>
      <c r="B261" s="21"/>
      <c r="C261" s="11" t="s">
        <v>768</v>
      </c>
      <c r="D261" s="11">
        <v>403703</v>
      </c>
      <c r="E261" s="11">
        <v>14845</v>
      </c>
      <c r="F261" s="11">
        <v>23380</v>
      </c>
      <c r="G261" s="11">
        <v>0</v>
      </c>
      <c r="H261" s="11"/>
      <c r="I261" s="11">
        <v>0</v>
      </c>
      <c r="J261" s="11">
        <v>0</v>
      </c>
      <c r="K261" s="11"/>
      <c r="L261" s="11">
        <v>0</v>
      </c>
      <c r="M261" s="27">
        <f t="shared" si="41"/>
        <v>0</v>
      </c>
      <c r="N261" s="27">
        <v>0</v>
      </c>
      <c r="O261" s="366">
        <f t="shared" si="38"/>
        <v>0</v>
      </c>
    </row>
    <row r="262" spans="1:15" ht="13.5" customHeight="1">
      <c r="A262" s="559"/>
      <c r="B262" s="21" t="s">
        <v>711</v>
      </c>
      <c r="C262" s="11" t="s">
        <v>875</v>
      </c>
      <c r="D262" s="11"/>
      <c r="E262" s="11"/>
      <c r="F262" s="11"/>
      <c r="G262" s="11"/>
      <c r="H262" s="11">
        <v>14208</v>
      </c>
      <c r="I262" s="11">
        <v>0</v>
      </c>
      <c r="J262" s="11">
        <v>0</v>
      </c>
      <c r="K262" s="11">
        <v>11283</v>
      </c>
      <c r="L262" s="11">
        <v>0</v>
      </c>
      <c r="M262" s="27">
        <f t="shared" si="41"/>
        <v>11283</v>
      </c>
      <c r="N262" s="27">
        <v>0</v>
      </c>
      <c r="O262" s="366">
        <f t="shared" si="38"/>
        <v>0.0004023924285886286</v>
      </c>
    </row>
    <row r="263" spans="1:15" ht="15.75" customHeight="1">
      <c r="A263" s="559"/>
      <c r="B263" s="21" t="s">
        <v>876</v>
      </c>
      <c r="C263" s="11" t="s">
        <v>877</v>
      </c>
      <c r="D263" s="11"/>
      <c r="E263" s="11">
        <v>8110</v>
      </c>
      <c r="F263" s="11">
        <v>0</v>
      </c>
      <c r="G263" s="11">
        <v>0</v>
      </c>
      <c r="H263" s="11">
        <v>300</v>
      </c>
      <c r="I263" s="11">
        <v>0</v>
      </c>
      <c r="J263" s="11">
        <v>0</v>
      </c>
      <c r="K263" s="11">
        <v>800</v>
      </c>
      <c r="L263" s="11">
        <v>0</v>
      </c>
      <c r="M263" s="27">
        <f t="shared" si="41"/>
        <v>800</v>
      </c>
      <c r="N263" s="27">
        <v>0</v>
      </c>
      <c r="O263" s="366">
        <f t="shared" si="38"/>
        <v>2.8530882112106964E-05</v>
      </c>
    </row>
    <row r="264" spans="1:15" ht="15" customHeight="1">
      <c r="A264" s="559"/>
      <c r="B264" s="36">
        <v>4210</v>
      </c>
      <c r="C264" s="11" t="s">
        <v>757</v>
      </c>
      <c r="D264" s="11" t="e">
        <f>D266+#REF!</f>
        <v>#REF!</v>
      </c>
      <c r="E264" s="23">
        <v>110063</v>
      </c>
      <c r="F264" s="23">
        <v>262</v>
      </c>
      <c r="G264" s="23">
        <v>0</v>
      </c>
      <c r="H264" s="11">
        <v>94500</v>
      </c>
      <c r="I264" s="11">
        <v>0</v>
      </c>
      <c r="J264" s="11">
        <v>0</v>
      </c>
      <c r="K264" s="11">
        <v>50575</v>
      </c>
      <c r="L264" s="11">
        <v>0</v>
      </c>
      <c r="M264" s="27">
        <f t="shared" si="41"/>
        <v>50575</v>
      </c>
      <c r="N264" s="27">
        <v>0</v>
      </c>
      <c r="O264" s="366">
        <f t="shared" si="38"/>
        <v>0.0018036867035247622</v>
      </c>
    </row>
    <row r="265" spans="1:15" ht="15" customHeight="1">
      <c r="A265" s="559"/>
      <c r="B265" s="36">
        <v>4240</v>
      </c>
      <c r="C265" s="11" t="s">
        <v>866</v>
      </c>
      <c r="D265" s="11"/>
      <c r="E265" s="23"/>
      <c r="F265" s="23"/>
      <c r="G265" s="23"/>
      <c r="H265" s="11">
        <v>3000</v>
      </c>
      <c r="I265" s="11">
        <v>0</v>
      </c>
      <c r="J265" s="11">
        <v>0</v>
      </c>
      <c r="K265" s="11">
        <v>1798</v>
      </c>
      <c r="L265" s="11">
        <v>0</v>
      </c>
      <c r="M265" s="27">
        <f t="shared" si="41"/>
        <v>1798</v>
      </c>
      <c r="N265" s="27">
        <v>0</v>
      </c>
      <c r="O265" s="366">
        <f aca="true" t="shared" si="42" ref="O265:O292">K265/$K$606</f>
        <v>6.41231575469604E-05</v>
      </c>
    </row>
    <row r="266" spans="1:15" ht="15" customHeight="1" hidden="1">
      <c r="A266" s="559"/>
      <c r="B266" s="21" t="s">
        <v>485</v>
      </c>
      <c r="C266" s="11" t="s">
        <v>486</v>
      </c>
      <c r="D266" s="11">
        <v>263344</v>
      </c>
      <c r="E266" s="11">
        <v>4750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/>
      <c r="L266" s="11">
        <v>0</v>
      </c>
      <c r="M266" s="27">
        <f t="shared" si="41"/>
        <v>0</v>
      </c>
      <c r="N266" s="27">
        <v>0</v>
      </c>
      <c r="O266" s="366">
        <f t="shared" si="42"/>
        <v>0</v>
      </c>
    </row>
    <row r="267" spans="1:15" ht="15.75" customHeight="1">
      <c r="A267" s="559"/>
      <c r="B267" s="21" t="s">
        <v>732</v>
      </c>
      <c r="C267" s="11" t="s">
        <v>824</v>
      </c>
      <c r="D267" s="11"/>
      <c r="E267" s="11">
        <v>137000</v>
      </c>
      <c r="F267" s="11">
        <v>8000</v>
      </c>
      <c r="G267" s="11">
        <v>0</v>
      </c>
      <c r="H267" s="11">
        <v>38000</v>
      </c>
      <c r="I267" s="11">
        <v>0</v>
      </c>
      <c r="J267" s="11">
        <v>0</v>
      </c>
      <c r="K267" s="11">
        <v>37000</v>
      </c>
      <c r="L267" s="11">
        <v>0</v>
      </c>
      <c r="M267" s="27">
        <f t="shared" si="41"/>
        <v>37000</v>
      </c>
      <c r="N267" s="27">
        <v>0</v>
      </c>
      <c r="O267" s="366">
        <f t="shared" si="42"/>
        <v>0.0013195532976849472</v>
      </c>
    </row>
    <row r="268" spans="1:15" ht="18" customHeight="1">
      <c r="A268" s="559"/>
      <c r="B268" s="21" t="s">
        <v>734</v>
      </c>
      <c r="C268" s="11" t="s">
        <v>825</v>
      </c>
      <c r="D268" s="11"/>
      <c r="E268" s="11">
        <v>24000</v>
      </c>
      <c r="F268" s="11">
        <v>7055</v>
      </c>
      <c r="G268" s="11">
        <v>894</v>
      </c>
      <c r="H268" s="23">
        <v>186783</v>
      </c>
      <c r="I268" s="11">
        <v>0</v>
      </c>
      <c r="J268" s="11">
        <v>0</v>
      </c>
      <c r="K268" s="11">
        <v>35000</v>
      </c>
      <c r="L268" s="11">
        <v>0</v>
      </c>
      <c r="M268" s="27">
        <f t="shared" si="41"/>
        <v>35000</v>
      </c>
      <c r="N268" s="27">
        <v>0</v>
      </c>
      <c r="O268" s="366">
        <f t="shared" si="42"/>
        <v>0.0012482260924046797</v>
      </c>
    </row>
    <row r="269" spans="1:15" ht="16.5" customHeight="1">
      <c r="A269" s="559"/>
      <c r="B269" s="21" t="s">
        <v>736</v>
      </c>
      <c r="C269" s="11" t="s">
        <v>737</v>
      </c>
      <c r="D269" s="11"/>
      <c r="E269" s="11">
        <v>58100</v>
      </c>
      <c r="F269" s="11">
        <v>0</v>
      </c>
      <c r="G269" s="11">
        <v>4500</v>
      </c>
      <c r="H269" s="11">
        <v>30000</v>
      </c>
      <c r="I269" s="11">
        <v>0</v>
      </c>
      <c r="J269" s="11">
        <v>0</v>
      </c>
      <c r="K269" s="11">
        <v>29900</v>
      </c>
      <c r="L269" s="11">
        <v>0</v>
      </c>
      <c r="M269" s="27">
        <f t="shared" si="41"/>
        <v>29900</v>
      </c>
      <c r="N269" s="27">
        <v>0</v>
      </c>
      <c r="O269" s="366">
        <f t="shared" si="42"/>
        <v>0.0010663417189399978</v>
      </c>
    </row>
    <row r="270" spans="1:15" ht="16.5" customHeight="1">
      <c r="A270" s="559"/>
      <c r="B270" s="21" t="s">
        <v>461</v>
      </c>
      <c r="C270" s="11" t="s">
        <v>462</v>
      </c>
      <c r="D270" s="11"/>
      <c r="E270" s="11"/>
      <c r="F270" s="11"/>
      <c r="G270" s="11"/>
      <c r="H270" s="11"/>
      <c r="I270" s="11"/>
      <c r="J270" s="11"/>
      <c r="K270" s="11">
        <v>4500</v>
      </c>
      <c r="L270" s="11"/>
      <c r="M270" s="27">
        <f>K270</f>
        <v>4500</v>
      </c>
      <c r="N270" s="27"/>
      <c r="O270" s="366">
        <f>K270/$K$606</f>
        <v>0.00016048621188060168</v>
      </c>
    </row>
    <row r="271" spans="1:15" ht="15" customHeight="1">
      <c r="A271" s="559"/>
      <c r="B271" s="21" t="s">
        <v>738</v>
      </c>
      <c r="C271" s="11" t="s">
        <v>739</v>
      </c>
      <c r="D271" s="11"/>
      <c r="E271" s="11">
        <v>7500</v>
      </c>
      <c r="F271" s="11">
        <v>1200</v>
      </c>
      <c r="G271" s="11">
        <v>0</v>
      </c>
      <c r="H271" s="11">
        <v>3500</v>
      </c>
      <c r="I271" s="11">
        <v>0</v>
      </c>
      <c r="J271" s="11">
        <v>0</v>
      </c>
      <c r="K271" s="11">
        <v>3856</v>
      </c>
      <c r="L271" s="11">
        <v>0</v>
      </c>
      <c r="M271" s="27">
        <f t="shared" si="41"/>
        <v>3856</v>
      </c>
      <c r="N271" s="27">
        <v>0</v>
      </c>
      <c r="O271" s="366">
        <f t="shared" si="42"/>
        <v>0.00013751885178035558</v>
      </c>
    </row>
    <row r="272" spans="1:15" ht="14.25" customHeight="1">
      <c r="A272" s="559"/>
      <c r="B272" s="21" t="s">
        <v>740</v>
      </c>
      <c r="C272" s="11" t="s">
        <v>741</v>
      </c>
      <c r="D272" s="11"/>
      <c r="E272" s="11">
        <v>873</v>
      </c>
      <c r="F272" s="11">
        <v>1000</v>
      </c>
      <c r="G272" s="11">
        <v>0</v>
      </c>
      <c r="H272" s="11">
        <v>2600</v>
      </c>
      <c r="I272" s="11">
        <v>0</v>
      </c>
      <c r="J272" s="11">
        <v>0</v>
      </c>
      <c r="K272" s="11">
        <v>0</v>
      </c>
      <c r="L272" s="11">
        <v>0</v>
      </c>
      <c r="M272" s="27">
        <f t="shared" si="41"/>
        <v>0</v>
      </c>
      <c r="N272" s="27">
        <v>0</v>
      </c>
      <c r="O272" s="366">
        <f t="shared" si="42"/>
        <v>0</v>
      </c>
    </row>
    <row r="273" spans="1:15" ht="15.75" customHeight="1">
      <c r="A273" s="559"/>
      <c r="B273" s="21" t="s">
        <v>742</v>
      </c>
      <c r="C273" s="11" t="s">
        <v>743</v>
      </c>
      <c r="D273" s="11"/>
      <c r="E273" s="11">
        <v>126309</v>
      </c>
      <c r="F273" s="11">
        <v>0</v>
      </c>
      <c r="G273" s="11">
        <v>700</v>
      </c>
      <c r="H273" s="11">
        <v>60789</v>
      </c>
      <c r="I273" s="11">
        <v>0</v>
      </c>
      <c r="J273" s="11">
        <v>0</v>
      </c>
      <c r="K273" s="11">
        <v>64763</v>
      </c>
      <c r="L273" s="11">
        <v>0</v>
      </c>
      <c r="M273" s="27">
        <f t="shared" si="41"/>
        <v>64763</v>
      </c>
      <c r="N273" s="27">
        <v>0</v>
      </c>
      <c r="O273" s="366">
        <f t="shared" si="42"/>
        <v>0.002309681897782979</v>
      </c>
    </row>
    <row r="274" spans="1:15" ht="15.75" customHeight="1">
      <c r="A274" s="26"/>
      <c r="B274" s="21" t="s">
        <v>758</v>
      </c>
      <c r="C274" s="11" t="s">
        <v>759</v>
      </c>
      <c r="D274" s="11"/>
      <c r="E274" s="11"/>
      <c r="F274" s="11"/>
      <c r="G274" s="11"/>
      <c r="H274" s="11">
        <v>1021</v>
      </c>
      <c r="I274" s="11">
        <v>0</v>
      </c>
      <c r="J274" s="11">
        <v>0</v>
      </c>
      <c r="K274" s="11">
        <v>980</v>
      </c>
      <c r="L274" s="11">
        <v>0</v>
      </c>
      <c r="M274" s="27">
        <f t="shared" si="41"/>
        <v>980</v>
      </c>
      <c r="N274" s="27">
        <v>0</v>
      </c>
      <c r="O274" s="366">
        <f t="shared" si="42"/>
        <v>3.495033058733103E-05</v>
      </c>
    </row>
    <row r="275" spans="1:15" ht="15" customHeight="1">
      <c r="A275" s="26"/>
      <c r="B275" s="21" t="s">
        <v>868</v>
      </c>
      <c r="C275" s="298" t="s">
        <v>878</v>
      </c>
      <c r="D275" s="11"/>
      <c r="E275" s="11">
        <f>E276+E277</f>
        <v>302972</v>
      </c>
      <c r="F275" s="11">
        <f>F276+F277</f>
        <v>0</v>
      </c>
      <c r="G275" s="11">
        <f>G276+G277</f>
        <v>93147</v>
      </c>
      <c r="H275" s="11">
        <f>H276+H277+H278</f>
        <v>273254</v>
      </c>
      <c r="I275" s="11">
        <v>0</v>
      </c>
      <c r="J275" s="11">
        <v>0</v>
      </c>
      <c r="K275" s="11">
        <f>K276+K277+K278</f>
        <v>176024</v>
      </c>
      <c r="L275" s="11">
        <v>0</v>
      </c>
      <c r="M275" s="27">
        <f t="shared" si="41"/>
        <v>176024</v>
      </c>
      <c r="N275" s="27">
        <v>0</v>
      </c>
      <c r="O275" s="366">
        <f t="shared" si="42"/>
        <v>0.0062776499911268956</v>
      </c>
    </row>
    <row r="276" spans="1:15" ht="13.5" customHeight="1">
      <c r="A276" s="26"/>
      <c r="B276" s="21"/>
      <c r="C276" s="11" t="s">
        <v>879</v>
      </c>
      <c r="D276" s="11"/>
      <c r="E276" s="11">
        <v>246759</v>
      </c>
      <c r="F276" s="11">
        <v>0</v>
      </c>
      <c r="G276" s="11">
        <v>72750</v>
      </c>
      <c r="H276" s="11">
        <v>62124</v>
      </c>
      <c r="I276" s="11">
        <v>0</v>
      </c>
      <c r="J276" s="11">
        <v>0</v>
      </c>
      <c r="K276" s="11">
        <v>44006</v>
      </c>
      <c r="L276" s="11">
        <v>0</v>
      </c>
      <c r="M276" s="27">
        <f t="shared" si="41"/>
        <v>44006</v>
      </c>
      <c r="N276" s="27">
        <v>0</v>
      </c>
      <c r="O276" s="366">
        <f t="shared" si="42"/>
        <v>0.0015694124977817239</v>
      </c>
    </row>
    <row r="277" spans="1:15" ht="13.5" customHeight="1">
      <c r="A277" s="26"/>
      <c r="B277" s="11"/>
      <c r="C277" s="11" t="s">
        <v>880</v>
      </c>
      <c r="D277" s="11"/>
      <c r="E277" s="11">
        <v>56213</v>
      </c>
      <c r="F277" s="11">
        <v>0</v>
      </c>
      <c r="G277" s="11">
        <v>20397</v>
      </c>
      <c r="H277" s="11">
        <v>39687</v>
      </c>
      <c r="I277" s="11">
        <v>0</v>
      </c>
      <c r="J277" s="11">
        <v>0</v>
      </c>
      <c r="K277" s="11">
        <v>0</v>
      </c>
      <c r="L277" s="11">
        <v>0</v>
      </c>
      <c r="M277" s="27">
        <f t="shared" si="41"/>
        <v>0</v>
      </c>
      <c r="N277" s="27">
        <v>0</v>
      </c>
      <c r="O277" s="366">
        <f t="shared" si="42"/>
        <v>0</v>
      </c>
    </row>
    <row r="278" spans="1:15" ht="13.5" customHeight="1">
      <c r="A278" s="26"/>
      <c r="B278" s="11"/>
      <c r="C278" s="11" t="s">
        <v>881</v>
      </c>
      <c r="D278" s="11"/>
      <c r="E278" s="11"/>
      <c r="F278" s="11"/>
      <c r="G278" s="11"/>
      <c r="H278" s="11">
        <v>171443</v>
      </c>
      <c r="I278" s="11">
        <v>0</v>
      </c>
      <c r="J278" s="11">
        <v>0</v>
      </c>
      <c r="K278" s="11">
        <v>132018</v>
      </c>
      <c r="L278" s="11">
        <v>0</v>
      </c>
      <c r="M278" s="27">
        <f t="shared" si="41"/>
        <v>132018</v>
      </c>
      <c r="N278" s="27">
        <v>0</v>
      </c>
      <c r="O278" s="366">
        <f t="shared" si="42"/>
        <v>0.004708237493345172</v>
      </c>
    </row>
    <row r="279" spans="1:15" ht="13.5" customHeight="1">
      <c r="A279" s="29" t="s">
        <v>639</v>
      </c>
      <c r="B279" s="10"/>
      <c r="C279" s="10" t="s">
        <v>640</v>
      </c>
      <c r="D279" s="10"/>
      <c r="E279" s="10"/>
      <c r="F279" s="10"/>
      <c r="G279" s="10"/>
      <c r="H279" s="10" t="e">
        <f>H280+H282+H283+H285+H286+H287+H288+#REF!</f>
        <v>#REF!</v>
      </c>
      <c r="I279" s="10" t="e">
        <f>I280+I282+I283+I285+I286+I287+I288+#REF!</f>
        <v>#REF!</v>
      </c>
      <c r="J279" s="10" t="e">
        <f>J280+J282+J283+J285+J286+J287+J288+#REF!</f>
        <v>#REF!</v>
      </c>
      <c r="K279" s="10">
        <f>K280+K282+K283+K285+K286+K287+K288+K284+K281</f>
        <v>1062994</v>
      </c>
      <c r="L279" s="10">
        <f>L280+L282+L283+L285+L286+L287+L288+L284+L281</f>
        <v>0</v>
      </c>
      <c r="M279" s="10">
        <f>M280+M282+M283+M285+M286+M287+M288+M284+M281</f>
        <v>1062994</v>
      </c>
      <c r="N279" s="10">
        <f>N280+N282+N283+N285+N286+N287+N288+N284+N281</f>
        <v>0</v>
      </c>
      <c r="O279" s="366">
        <f t="shared" si="42"/>
        <v>0.037910195624846287</v>
      </c>
    </row>
    <row r="280" spans="1:15" ht="15" customHeight="1">
      <c r="A280" s="26"/>
      <c r="B280" s="11">
        <v>4010</v>
      </c>
      <c r="C280" s="14" t="s">
        <v>721</v>
      </c>
      <c r="D280" s="11"/>
      <c r="E280" s="11"/>
      <c r="F280" s="11"/>
      <c r="G280" s="11"/>
      <c r="H280" s="11">
        <v>322855</v>
      </c>
      <c r="I280" s="11">
        <v>0</v>
      </c>
      <c r="J280" s="11">
        <v>0</v>
      </c>
      <c r="K280" s="11">
        <v>711123</v>
      </c>
      <c r="L280" s="11">
        <v>0</v>
      </c>
      <c r="M280" s="27">
        <f>K280</f>
        <v>711123</v>
      </c>
      <c r="N280" s="27">
        <v>0</v>
      </c>
      <c r="O280" s="366">
        <f t="shared" si="42"/>
        <v>0.025361208100259804</v>
      </c>
    </row>
    <row r="281" spans="1:15" ht="15" customHeight="1">
      <c r="A281" s="26"/>
      <c r="B281" s="11">
        <v>4040</v>
      </c>
      <c r="C281" s="14" t="s">
        <v>725</v>
      </c>
      <c r="D281" s="11"/>
      <c r="E281" s="11"/>
      <c r="F281" s="11"/>
      <c r="G281" s="11"/>
      <c r="H281" s="11"/>
      <c r="I281" s="11"/>
      <c r="J281" s="11"/>
      <c r="K281" s="11">
        <v>49956</v>
      </c>
      <c r="L281" s="11">
        <v>0</v>
      </c>
      <c r="M281" s="27">
        <f>K281</f>
        <v>49956</v>
      </c>
      <c r="N281" s="27">
        <v>0</v>
      </c>
      <c r="O281" s="366">
        <f t="shared" si="42"/>
        <v>0.0017816109334905196</v>
      </c>
    </row>
    <row r="282" spans="1:15" ht="13.5" customHeight="1">
      <c r="A282" s="26"/>
      <c r="B282" s="11">
        <v>4110</v>
      </c>
      <c r="C282" s="14" t="s">
        <v>793</v>
      </c>
      <c r="D282" s="11"/>
      <c r="E282" s="11"/>
      <c r="F282" s="11"/>
      <c r="G282" s="11"/>
      <c r="H282" s="11">
        <v>58061</v>
      </c>
      <c r="I282" s="11">
        <v>0</v>
      </c>
      <c r="J282" s="11">
        <v>0</v>
      </c>
      <c r="K282" s="11">
        <v>131113</v>
      </c>
      <c r="L282" s="11">
        <v>0</v>
      </c>
      <c r="M282" s="27">
        <f aca="true" t="shared" si="43" ref="M282:M288">K282</f>
        <v>131113</v>
      </c>
      <c r="N282" s="27">
        <v>0</v>
      </c>
      <c r="O282" s="366">
        <f t="shared" si="42"/>
        <v>0.004675961932955851</v>
      </c>
    </row>
    <row r="283" spans="1:15" ht="13.5" customHeight="1">
      <c r="A283" s="26"/>
      <c r="B283" s="11">
        <v>4120</v>
      </c>
      <c r="C283" s="14" t="s">
        <v>729</v>
      </c>
      <c r="D283" s="11"/>
      <c r="E283" s="11"/>
      <c r="F283" s="11"/>
      <c r="G283" s="11"/>
      <c r="H283" s="11">
        <v>7696</v>
      </c>
      <c r="I283" s="11">
        <v>0</v>
      </c>
      <c r="J283" s="11">
        <v>0</v>
      </c>
      <c r="K283" s="11">
        <v>18088</v>
      </c>
      <c r="L283" s="11">
        <v>0</v>
      </c>
      <c r="M283" s="27">
        <f t="shared" si="43"/>
        <v>18088</v>
      </c>
      <c r="N283" s="27">
        <v>0</v>
      </c>
      <c r="O283" s="366">
        <f t="shared" si="42"/>
        <v>0.0006450832445547385</v>
      </c>
    </row>
    <row r="284" spans="1:15" ht="15" customHeight="1" hidden="1">
      <c r="A284" s="26"/>
      <c r="B284" s="11">
        <v>3020</v>
      </c>
      <c r="C284" s="11" t="s">
        <v>875</v>
      </c>
      <c r="D284" s="11"/>
      <c r="E284" s="11"/>
      <c r="F284" s="11"/>
      <c r="G284" s="11"/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27">
        <f t="shared" si="43"/>
        <v>0</v>
      </c>
      <c r="N284" s="27">
        <v>0</v>
      </c>
      <c r="O284" s="366">
        <f t="shared" si="42"/>
        <v>0</v>
      </c>
    </row>
    <row r="285" spans="1:15" ht="13.5" customHeight="1">
      <c r="A285" s="26"/>
      <c r="B285" s="11">
        <v>4210</v>
      </c>
      <c r="C285" s="11" t="s">
        <v>757</v>
      </c>
      <c r="D285" s="11"/>
      <c r="E285" s="11"/>
      <c r="F285" s="11"/>
      <c r="G285" s="11"/>
      <c r="H285" s="11">
        <v>44979</v>
      </c>
      <c r="I285" s="11">
        <v>0</v>
      </c>
      <c r="J285" s="11">
        <v>0</v>
      </c>
      <c r="K285" s="11">
        <v>82040</v>
      </c>
      <c r="L285" s="11">
        <v>0</v>
      </c>
      <c r="M285" s="27">
        <f t="shared" si="43"/>
        <v>82040</v>
      </c>
      <c r="N285" s="27">
        <v>0</v>
      </c>
      <c r="O285" s="366">
        <f t="shared" si="42"/>
        <v>0.0029258419605965695</v>
      </c>
    </row>
    <row r="286" spans="1:15" ht="13.5" customHeight="1">
      <c r="A286" s="26"/>
      <c r="B286" s="11">
        <v>4260</v>
      </c>
      <c r="C286" s="11" t="s">
        <v>824</v>
      </c>
      <c r="D286" s="11"/>
      <c r="E286" s="11"/>
      <c r="F286" s="11"/>
      <c r="G286" s="11"/>
      <c r="H286" s="11">
        <v>12000</v>
      </c>
      <c r="I286" s="11">
        <v>0</v>
      </c>
      <c r="J286" s="11">
        <v>0</v>
      </c>
      <c r="K286" s="11">
        <v>17000</v>
      </c>
      <c r="L286" s="11">
        <v>0</v>
      </c>
      <c r="M286" s="27">
        <f t="shared" si="43"/>
        <v>17000</v>
      </c>
      <c r="N286" s="27">
        <v>0</v>
      </c>
      <c r="O286" s="366">
        <f t="shared" si="42"/>
        <v>0.0006062812448822731</v>
      </c>
    </row>
    <row r="287" spans="1:15" ht="13.5" customHeight="1">
      <c r="A287" s="26"/>
      <c r="B287" s="11">
        <v>4300</v>
      </c>
      <c r="C287" s="11" t="s">
        <v>737</v>
      </c>
      <c r="D287" s="11"/>
      <c r="E287" s="11"/>
      <c r="F287" s="11"/>
      <c r="G287" s="11"/>
      <c r="H287" s="11">
        <v>4664</v>
      </c>
      <c r="I287" s="11">
        <v>0</v>
      </c>
      <c r="J287" s="11">
        <v>0</v>
      </c>
      <c r="K287" s="11">
        <v>10444</v>
      </c>
      <c r="L287" s="11">
        <v>0</v>
      </c>
      <c r="M287" s="27">
        <f t="shared" si="43"/>
        <v>10444</v>
      </c>
      <c r="N287" s="27">
        <v>0</v>
      </c>
      <c r="O287" s="366">
        <f t="shared" si="42"/>
        <v>0.00037247066597355643</v>
      </c>
    </row>
    <row r="288" spans="1:15" ht="13.5" customHeight="1">
      <c r="A288" s="26"/>
      <c r="B288" s="11">
        <v>4440</v>
      </c>
      <c r="C288" s="11" t="s">
        <v>743</v>
      </c>
      <c r="D288" s="11"/>
      <c r="E288" s="11"/>
      <c r="F288" s="11"/>
      <c r="G288" s="11"/>
      <c r="H288" s="11">
        <v>15378</v>
      </c>
      <c r="I288" s="11">
        <v>0</v>
      </c>
      <c r="J288" s="11">
        <v>0</v>
      </c>
      <c r="K288" s="11">
        <v>43230</v>
      </c>
      <c r="L288" s="11">
        <v>0</v>
      </c>
      <c r="M288" s="27">
        <f t="shared" si="43"/>
        <v>43230</v>
      </c>
      <c r="N288" s="27">
        <v>0</v>
      </c>
      <c r="O288" s="366">
        <f t="shared" si="42"/>
        <v>0.00154173754213298</v>
      </c>
    </row>
    <row r="289" spans="1:15" ht="15.75" customHeight="1">
      <c r="A289" s="29" t="s">
        <v>883</v>
      </c>
      <c r="B289" s="30"/>
      <c r="C289" s="10" t="s">
        <v>884</v>
      </c>
      <c r="D289" s="10">
        <f>D290+D291+D292+D295</f>
        <v>1881934</v>
      </c>
      <c r="E289" s="10">
        <f>E290+E291+E292+E293+E294+E295+E298+E299+E300+E301+E302+E304+E306+E307+E315+E320</f>
        <v>4748335</v>
      </c>
      <c r="F289" s="10">
        <f>F290+F291+F292+F293+F294+F295+F298+F299+F300+F301+F302+F304+F306+F307+F315+F320</f>
        <v>94490</v>
      </c>
      <c r="G289" s="10">
        <f>G290+G291+G292+G293+G294+G295+G298+G299+G300+G301+G302+G304+G306+G307+G315+G320</f>
        <v>82430</v>
      </c>
      <c r="H289" s="10">
        <f>H290+H291+H292+H293+H294+H295+H298+H299+H300+H301+H302+H304+H306+H307+H315+H320+H296+H313+H340+H341</f>
        <v>6452073</v>
      </c>
      <c r="I289" s="10">
        <f>I290+I291+I292+I293+I294+I295+I298+I299+I300+I301+I302+I304+I306+I307+I315+I320+I296+I313+I340+I341</f>
        <v>0</v>
      </c>
      <c r="J289" s="10">
        <f>J290+J291+J292+J293+J294+J295+J298+J299+J300+J301+J302+J304+J306+J307+J315+J320+J296+J313+J340+J341</f>
        <v>0</v>
      </c>
      <c r="K289" s="10">
        <f>K290+K291+K292+K293+K295+K296+K297+K298+K299+K300+K301+K302+K303+K304+K305+K306+K307+K313+K314+K315+K320</f>
        <v>4379962</v>
      </c>
      <c r="L289" s="10">
        <f>L290+L291+L292+L293+L295+L296+L297+L298+L299+L300+L301+L302+L303+L304+L305+L306+L307+L313+L314+L315+L320</f>
        <v>0</v>
      </c>
      <c r="M289" s="10">
        <f>M290+M291+M292+M293+M295+M296+M297+M298+M299+M300+M301+M302+M303+M304+M305+M306+M307+M313+M314+M315+M320</f>
        <v>4379962</v>
      </c>
      <c r="N289" s="10">
        <f>N290+N291+N292+N293+N295+N296+N297+N298+N299+N300+N301+N302+N303+N304+N305+N306+N307+N313+N314+N315+N320</f>
        <v>0</v>
      </c>
      <c r="O289" s="366">
        <f t="shared" si="42"/>
        <v>0.1562052243468853</v>
      </c>
    </row>
    <row r="290" spans="1:15" ht="15.75" customHeight="1">
      <c r="A290" s="26"/>
      <c r="B290" s="21" t="s">
        <v>720</v>
      </c>
      <c r="C290" s="14" t="s">
        <v>721</v>
      </c>
      <c r="D290" s="11">
        <v>1306363</v>
      </c>
      <c r="E290" s="11">
        <v>2620120</v>
      </c>
      <c r="F290" s="11">
        <v>76198</v>
      </c>
      <c r="G290" s="11">
        <v>0</v>
      </c>
      <c r="H290" s="11">
        <v>2507234</v>
      </c>
      <c r="I290" s="11">
        <v>0</v>
      </c>
      <c r="J290" s="11">
        <v>0</v>
      </c>
      <c r="K290" s="11">
        <v>2653295</v>
      </c>
      <c r="L290" s="11">
        <v>0</v>
      </c>
      <c r="M290" s="27">
        <f>K290</f>
        <v>2653295</v>
      </c>
      <c r="N290" s="27">
        <v>0</v>
      </c>
      <c r="O290" s="366">
        <f t="shared" si="42"/>
        <v>0.09462605856705357</v>
      </c>
    </row>
    <row r="291" spans="1:15" ht="15" customHeight="1">
      <c r="A291" s="26"/>
      <c r="B291" s="21" t="s">
        <v>724</v>
      </c>
      <c r="C291" s="14" t="s">
        <v>725</v>
      </c>
      <c r="D291" s="11">
        <v>74072</v>
      </c>
      <c r="E291" s="11">
        <v>90144</v>
      </c>
      <c r="F291" s="11">
        <v>0</v>
      </c>
      <c r="G291" s="11">
        <v>0</v>
      </c>
      <c r="H291" s="11">
        <v>229094</v>
      </c>
      <c r="I291" s="11">
        <v>0</v>
      </c>
      <c r="J291" s="11">
        <v>0</v>
      </c>
      <c r="K291" s="11">
        <v>220542</v>
      </c>
      <c r="L291" s="11">
        <v>0</v>
      </c>
      <c r="M291" s="27">
        <f aca="true" t="shared" si="44" ref="M291:M320">K291</f>
        <v>220542</v>
      </c>
      <c r="N291" s="27">
        <v>0</v>
      </c>
      <c r="O291" s="366">
        <f t="shared" si="42"/>
        <v>0.007865322253460368</v>
      </c>
    </row>
    <row r="292" spans="1:15" ht="12.75" customHeight="1">
      <c r="A292" s="26"/>
      <c r="B292" s="28" t="s">
        <v>777</v>
      </c>
      <c r="C292" s="14" t="s">
        <v>793</v>
      </c>
      <c r="D292" s="11">
        <v>239437</v>
      </c>
      <c r="E292" s="11">
        <v>480155</v>
      </c>
      <c r="F292" s="11">
        <v>6005</v>
      </c>
      <c r="G292" s="11">
        <v>0</v>
      </c>
      <c r="H292" s="11">
        <v>471989</v>
      </c>
      <c r="I292" s="11">
        <v>0</v>
      </c>
      <c r="J292" s="11">
        <v>0</v>
      </c>
      <c r="K292" s="11">
        <v>505661</v>
      </c>
      <c r="L292" s="11">
        <v>0</v>
      </c>
      <c r="M292" s="27">
        <f t="shared" si="44"/>
        <v>505661</v>
      </c>
      <c r="N292" s="27">
        <v>0</v>
      </c>
      <c r="O292" s="366">
        <f t="shared" si="42"/>
        <v>0.01803369297461265</v>
      </c>
    </row>
    <row r="293" spans="1:15" ht="15" customHeight="1">
      <c r="A293" s="26"/>
      <c r="B293" s="28" t="s">
        <v>728</v>
      </c>
      <c r="C293" s="14" t="s">
        <v>729</v>
      </c>
      <c r="D293" s="11"/>
      <c r="E293" s="11">
        <v>62713</v>
      </c>
      <c r="F293" s="11">
        <v>822</v>
      </c>
      <c r="G293" s="11">
        <v>0</v>
      </c>
      <c r="H293" s="11">
        <v>64920</v>
      </c>
      <c r="I293" s="11">
        <v>0</v>
      </c>
      <c r="J293" s="11">
        <v>0</v>
      </c>
      <c r="K293" s="11">
        <v>69609</v>
      </c>
      <c r="L293" s="11">
        <v>0</v>
      </c>
      <c r="M293" s="27">
        <f t="shared" si="44"/>
        <v>69609</v>
      </c>
      <c r="N293" s="27">
        <v>0</v>
      </c>
      <c r="O293" s="366">
        <f aca="true" t="shared" si="45" ref="O293:O305">K293/$K$606</f>
        <v>0.0024825077161770674</v>
      </c>
    </row>
    <row r="294" spans="1:15" ht="3" customHeight="1" hidden="1">
      <c r="A294" s="26"/>
      <c r="B294" s="28"/>
      <c r="C294" s="14" t="s">
        <v>768</v>
      </c>
      <c r="D294" s="11"/>
      <c r="E294" s="11">
        <v>2580</v>
      </c>
      <c r="F294" s="11">
        <v>0</v>
      </c>
      <c r="G294" s="11">
        <v>150</v>
      </c>
      <c r="H294" s="11"/>
      <c r="I294" s="11">
        <v>0</v>
      </c>
      <c r="J294" s="11">
        <v>0</v>
      </c>
      <c r="K294" s="11"/>
      <c r="L294" s="11">
        <v>0</v>
      </c>
      <c r="M294" s="27">
        <f t="shared" si="44"/>
        <v>0</v>
      </c>
      <c r="N294" s="27">
        <v>0</v>
      </c>
      <c r="O294" s="366">
        <f t="shared" si="45"/>
        <v>0</v>
      </c>
    </row>
    <row r="295" spans="1:15" ht="14.25" customHeight="1">
      <c r="A295" s="26"/>
      <c r="B295" s="21" t="s">
        <v>711</v>
      </c>
      <c r="C295" s="14" t="s">
        <v>885</v>
      </c>
      <c r="D295" s="11">
        <v>262062</v>
      </c>
      <c r="E295" s="11">
        <v>7439</v>
      </c>
      <c r="F295" s="11">
        <v>0</v>
      </c>
      <c r="G295" s="11">
        <v>0</v>
      </c>
      <c r="H295" s="11">
        <v>4872</v>
      </c>
      <c r="I295" s="11">
        <v>0</v>
      </c>
      <c r="J295" s="11">
        <v>0</v>
      </c>
      <c r="K295" s="11">
        <v>2700</v>
      </c>
      <c r="L295" s="11">
        <v>0</v>
      </c>
      <c r="M295" s="27">
        <f t="shared" si="44"/>
        <v>2700</v>
      </c>
      <c r="N295" s="27">
        <v>0</v>
      </c>
      <c r="O295" s="366">
        <f t="shared" si="45"/>
        <v>9.629172712836101E-05</v>
      </c>
    </row>
    <row r="296" spans="1:15" ht="14.25" customHeight="1">
      <c r="A296" s="26"/>
      <c r="B296" s="21" t="s">
        <v>876</v>
      </c>
      <c r="C296" s="14" t="s">
        <v>886</v>
      </c>
      <c r="D296" s="11"/>
      <c r="E296" s="11"/>
      <c r="F296" s="11"/>
      <c r="G296" s="11"/>
      <c r="H296" s="11">
        <v>8642</v>
      </c>
      <c r="I296" s="11">
        <v>0</v>
      </c>
      <c r="J296" s="11">
        <v>0</v>
      </c>
      <c r="K296" s="11">
        <v>6000</v>
      </c>
      <c r="L296" s="11">
        <v>0</v>
      </c>
      <c r="M296" s="27">
        <f t="shared" si="44"/>
        <v>6000</v>
      </c>
      <c r="N296" s="27">
        <v>0</v>
      </c>
      <c r="O296" s="366">
        <f t="shared" si="45"/>
        <v>0.00021398161584080223</v>
      </c>
    </row>
    <row r="297" spans="1:15" ht="14.25" customHeight="1">
      <c r="A297" s="26"/>
      <c r="B297" s="21" t="s">
        <v>459</v>
      </c>
      <c r="C297" s="14" t="s">
        <v>460</v>
      </c>
      <c r="D297" s="11"/>
      <c r="E297" s="11"/>
      <c r="F297" s="11"/>
      <c r="G297" s="11"/>
      <c r="H297" s="11"/>
      <c r="I297" s="11"/>
      <c r="J297" s="11"/>
      <c r="K297" s="11">
        <v>2500</v>
      </c>
      <c r="L297" s="11">
        <v>0</v>
      </c>
      <c r="M297" s="27">
        <f>K297</f>
        <v>2500</v>
      </c>
      <c r="N297" s="27">
        <v>0</v>
      </c>
      <c r="O297" s="366">
        <f t="shared" si="45"/>
        <v>8.915900660033427E-05</v>
      </c>
    </row>
    <row r="298" spans="1:15" ht="15" customHeight="1">
      <c r="A298" s="26"/>
      <c r="B298" s="21" t="s">
        <v>730</v>
      </c>
      <c r="C298" s="11" t="s">
        <v>757</v>
      </c>
      <c r="D298" s="11"/>
      <c r="E298" s="11">
        <v>262668</v>
      </c>
      <c r="F298" s="11">
        <v>7750</v>
      </c>
      <c r="G298" s="11">
        <v>0</v>
      </c>
      <c r="H298" s="11">
        <v>374867</v>
      </c>
      <c r="I298" s="11">
        <v>0</v>
      </c>
      <c r="J298" s="11">
        <v>0</v>
      </c>
      <c r="K298" s="11">
        <v>467441</v>
      </c>
      <c r="L298" s="11">
        <v>0</v>
      </c>
      <c r="M298" s="27">
        <f t="shared" si="44"/>
        <v>467441</v>
      </c>
      <c r="N298" s="27">
        <v>0</v>
      </c>
      <c r="O298" s="366">
        <f t="shared" si="45"/>
        <v>0.01667063008170674</v>
      </c>
    </row>
    <row r="299" spans="1:15" ht="15" customHeight="1">
      <c r="A299" s="26"/>
      <c r="B299" s="21" t="s">
        <v>865</v>
      </c>
      <c r="C299" s="11" t="s">
        <v>866</v>
      </c>
      <c r="D299" s="11"/>
      <c r="E299" s="11">
        <v>5206</v>
      </c>
      <c r="F299" s="11">
        <v>0</v>
      </c>
      <c r="G299" s="11">
        <v>1000</v>
      </c>
      <c r="H299" s="11">
        <v>6041</v>
      </c>
      <c r="I299" s="11">
        <v>0</v>
      </c>
      <c r="J299" s="11">
        <v>0</v>
      </c>
      <c r="K299" s="11">
        <v>8000</v>
      </c>
      <c r="L299" s="11">
        <v>0</v>
      </c>
      <c r="M299" s="27">
        <f t="shared" si="44"/>
        <v>8000</v>
      </c>
      <c r="N299" s="27">
        <v>0</v>
      </c>
      <c r="O299" s="366">
        <f t="shared" si="45"/>
        <v>0.00028530882112106964</v>
      </c>
    </row>
    <row r="300" spans="1:15" ht="15" customHeight="1">
      <c r="A300" s="26"/>
      <c r="B300" s="21" t="s">
        <v>732</v>
      </c>
      <c r="C300" s="11" t="s">
        <v>824</v>
      </c>
      <c r="D300" s="11"/>
      <c r="E300" s="11">
        <v>47707</v>
      </c>
      <c r="F300" s="11">
        <v>0</v>
      </c>
      <c r="G300" s="11">
        <v>3000</v>
      </c>
      <c r="H300" s="11">
        <v>88260</v>
      </c>
      <c r="I300" s="11">
        <v>0</v>
      </c>
      <c r="J300" s="11">
        <v>0</v>
      </c>
      <c r="K300" s="11">
        <v>64500</v>
      </c>
      <c r="L300" s="11">
        <v>0</v>
      </c>
      <c r="M300" s="27">
        <f t="shared" si="44"/>
        <v>64500</v>
      </c>
      <c r="N300" s="27">
        <v>0</v>
      </c>
      <c r="O300" s="366">
        <f t="shared" si="45"/>
        <v>0.002300302370288624</v>
      </c>
    </row>
    <row r="301" spans="1:15" ht="15" customHeight="1">
      <c r="A301" s="26"/>
      <c r="B301" s="21" t="s">
        <v>734</v>
      </c>
      <c r="C301" s="11" t="s">
        <v>825</v>
      </c>
      <c r="D301" s="11"/>
      <c r="E301" s="11">
        <v>55847</v>
      </c>
      <c r="F301" s="11">
        <v>0</v>
      </c>
      <c r="G301" s="11">
        <v>765</v>
      </c>
      <c r="H301" s="11">
        <v>241716</v>
      </c>
      <c r="I301" s="11">
        <v>0</v>
      </c>
      <c r="J301" s="11">
        <v>0</v>
      </c>
      <c r="K301" s="11">
        <v>0</v>
      </c>
      <c r="L301" s="11">
        <v>0</v>
      </c>
      <c r="M301" s="27">
        <f t="shared" si="44"/>
        <v>0</v>
      </c>
      <c r="N301" s="27">
        <v>0</v>
      </c>
      <c r="O301" s="366">
        <f t="shared" si="45"/>
        <v>0</v>
      </c>
    </row>
    <row r="302" spans="1:15" ht="14.25" customHeight="1">
      <c r="A302" s="26"/>
      <c r="B302" s="21" t="s">
        <v>736</v>
      </c>
      <c r="C302" s="11" t="s">
        <v>826</v>
      </c>
      <c r="D302" s="11"/>
      <c r="E302" s="11">
        <v>36614</v>
      </c>
      <c r="F302" s="11">
        <v>3715</v>
      </c>
      <c r="G302" s="11">
        <v>0</v>
      </c>
      <c r="H302" s="11">
        <v>96150</v>
      </c>
      <c r="I302" s="11">
        <v>0</v>
      </c>
      <c r="J302" s="11">
        <v>0</v>
      </c>
      <c r="K302" s="11">
        <v>106984</v>
      </c>
      <c r="L302" s="11">
        <v>0</v>
      </c>
      <c r="M302" s="27">
        <f t="shared" si="44"/>
        <v>106984</v>
      </c>
      <c r="N302" s="27">
        <v>0</v>
      </c>
      <c r="O302" s="366">
        <f t="shared" si="45"/>
        <v>0.0038154348648520645</v>
      </c>
    </row>
    <row r="303" spans="1:15" ht="14.25" customHeight="1">
      <c r="A303" s="26"/>
      <c r="B303" s="21" t="s">
        <v>461</v>
      </c>
      <c r="C303" s="11" t="s">
        <v>462</v>
      </c>
      <c r="D303" s="11"/>
      <c r="E303" s="11"/>
      <c r="F303" s="11"/>
      <c r="G303" s="11"/>
      <c r="H303" s="11"/>
      <c r="I303" s="11"/>
      <c r="J303" s="11"/>
      <c r="K303" s="11">
        <v>5871</v>
      </c>
      <c r="L303" s="11">
        <v>0</v>
      </c>
      <c r="M303" s="27">
        <f>K303</f>
        <v>5871</v>
      </c>
      <c r="N303" s="27">
        <v>0</v>
      </c>
      <c r="O303" s="366">
        <f t="shared" si="45"/>
        <v>0.000209381011100225</v>
      </c>
    </row>
    <row r="304" spans="1:15" ht="15" customHeight="1">
      <c r="A304" s="26"/>
      <c r="B304" s="21" t="s">
        <v>738</v>
      </c>
      <c r="C304" s="11" t="s">
        <v>739</v>
      </c>
      <c r="D304" s="11"/>
      <c r="E304" s="11">
        <v>3411</v>
      </c>
      <c r="F304" s="11">
        <v>0</v>
      </c>
      <c r="G304" s="11">
        <v>1800</v>
      </c>
      <c r="H304" s="11">
        <v>3500</v>
      </c>
      <c r="I304" s="11">
        <v>0</v>
      </c>
      <c r="J304" s="11">
        <v>0</v>
      </c>
      <c r="K304" s="11">
        <v>4500</v>
      </c>
      <c r="L304" s="11">
        <v>0</v>
      </c>
      <c r="M304" s="27">
        <f t="shared" si="44"/>
        <v>4500</v>
      </c>
      <c r="N304" s="27">
        <v>0</v>
      </c>
      <c r="O304" s="366">
        <f t="shared" si="45"/>
        <v>0.00016048621188060168</v>
      </c>
    </row>
    <row r="305" spans="1:15" ht="15" customHeight="1">
      <c r="A305" s="26"/>
      <c r="B305" s="21" t="s">
        <v>645</v>
      </c>
      <c r="C305" s="11" t="s">
        <v>646</v>
      </c>
      <c r="D305" s="11"/>
      <c r="E305" s="11"/>
      <c r="F305" s="11"/>
      <c r="G305" s="11"/>
      <c r="H305" s="11"/>
      <c r="I305" s="11"/>
      <c r="J305" s="11"/>
      <c r="K305" s="11">
        <v>600</v>
      </c>
      <c r="L305" s="11">
        <v>0</v>
      </c>
      <c r="M305" s="27">
        <f>K305</f>
        <v>600</v>
      </c>
      <c r="N305" s="27">
        <v>0</v>
      </c>
      <c r="O305" s="366">
        <f t="shared" si="45"/>
        <v>2.1398161584080223E-05</v>
      </c>
    </row>
    <row r="306" spans="1:15" ht="12" customHeight="1">
      <c r="A306" s="26"/>
      <c r="B306" s="21" t="s">
        <v>740</v>
      </c>
      <c r="C306" s="11" t="s">
        <v>741</v>
      </c>
      <c r="D306" s="11"/>
      <c r="E306" s="11">
        <v>5700</v>
      </c>
      <c r="F306" s="11">
        <v>0</v>
      </c>
      <c r="G306" s="11">
        <v>0</v>
      </c>
      <c r="H306" s="23">
        <v>5900</v>
      </c>
      <c r="I306" s="11">
        <v>0</v>
      </c>
      <c r="J306" s="11">
        <v>0</v>
      </c>
      <c r="K306" s="11">
        <v>0</v>
      </c>
      <c r="L306" s="11">
        <v>0</v>
      </c>
      <c r="M306" s="27">
        <f t="shared" si="44"/>
        <v>0</v>
      </c>
      <c r="N306" s="27">
        <v>0</v>
      </c>
      <c r="O306" s="366">
        <f aca="true" t="shared" si="46" ref="O306:O313">K306/$K$606</f>
        <v>0</v>
      </c>
    </row>
    <row r="307" spans="1:15" ht="12.75" customHeight="1">
      <c r="A307" s="26"/>
      <c r="B307" s="21" t="s">
        <v>742</v>
      </c>
      <c r="C307" s="11" t="s">
        <v>743</v>
      </c>
      <c r="D307" s="11"/>
      <c r="E307" s="11">
        <v>156652</v>
      </c>
      <c r="F307" s="11">
        <v>0</v>
      </c>
      <c r="G307" s="11">
        <v>1550</v>
      </c>
      <c r="H307" s="11">
        <v>123022</v>
      </c>
      <c r="I307" s="11">
        <v>0</v>
      </c>
      <c r="J307" s="11">
        <v>0</v>
      </c>
      <c r="K307" s="11">
        <v>144856</v>
      </c>
      <c r="L307" s="11">
        <v>0</v>
      </c>
      <c r="M307" s="27">
        <f t="shared" si="44"/>
        <v>144856</v>
      </c>
      <c r="N307" s="27">
        <v>0</v>
      </c>
      <c r="O307" s="366">
        <f t="shared" si="46"/>
        <v>0.005166086824039209</v>
      </c>
    </row>
    <row r="308" spans="1:15" ht="18" customHeight="1" hidden="1">
      <c r="A308" s="26"/>
      <c r="B308" s="21"/>
      <c r="C308" s="11"/>
      <c r="D308" s="11"/>
      <c r="E308" s="11"/>
      <c r="F308" s="11"/>
      <c r="G308" s="11"/>
      <c r="H308" s="11"/>
      <c r="I308" s="11">
        <v>0</v>
      </c>
      <c r="J308" s="11">
        <v>0</v>
      </c>
      <c r="K308" s="11"/>
      <c r="L308" s="11">
        <v>0</v>
      </c>
      <c r="M308" s="27">
        <f t="shared" si="44"/>
        <v>0</v>
      </c>
      <c r="N308" s="27">
        <v>0</v>
      </c>
      <c r="O308" s="366">
        <f t="shared" si="46"/>
        <v>0</v>
      </c>
    </row>
    <row r="309" spans="1:15" ht="15.75" customHeight="1" hidden="1">
      <c r="A309" s="26"/>
      <c r="B309" s="21"/>
      <c r="C309" s="11"/>
      <c r="D309" s="11"/>
      <c r="E309" s="11"/>
      <c r="F309" s="11"/>
      <c r="G309" s="11"/>
      <c r="H309" s="11"/>
      <c r="I309" s="11">
        <v>0</v>
      </c>
      <c r="J309" s="11">
        <v>0</v>
      </c>
      <c r="K309" s="11"/>
      <c r="L309" s="11">
        <v>0</v>
      </c>
      <c r="M309" s="27">
        <f t="shared" si="44"/>
        <v>0</v>
      </c>
      <c r="N309" s="27">
        <v>0</v>
      </c>
      <c r="O309" s="366">
        <f t="shared" si="46"/>
        <v>0</v>
      </c>
    </row>
    <row r="310" spans="1:15" ht="15.75" customHeight="1" hidden="1">
      <c r="A310" s="26"/>
      <c r="B310" s="21"/>
      <c r="C310" s="11"/>
      <c r="D310" s="11"/>
      <c r="E310" s="11"/>
      <c r="F310" s="11"/>
      <c r="G310" s="11"/>
      <c r="H310" s="11"/>
      <c r="I310" s="11">
        <v>0</v>
      </c>
      <c r="J310" s="11">
        <v>0</v>
      </c>
      <c r="K310" s="11"/>
      <c r="L310" s="11">
        <v>0</v>
      </c>
      <c r="M310" s="27">
        <f t="shared" si="44"/>
        <v>0</v>
      </c>
      <c r="N310" s="27">
        <v>0</v>
      </c>
      <c r="O310" s="366">
        <f t="shared" si="46"/>
        <v>0</v>
      </c>
    </row>
    <row r="311" spans="1:15" ht="15.75" customHeight="1" hidden="1">
      <c r="A311" s="26"/>
      <c r="B311" s="21"/>
      <c r="C311" s="11"/>
      <c r="D311" s="11"/>
      <c r="E311" s="11"/>
      <c r="F311" s="11"/>
      <c r="G311" s="11"/>
      <c r="H311" s="11"/>
      <c r="I311" s="11">
        <v>0</v>
      </c>
      <c r="J311" s="11">
        <v>0</v>
      </c>
      <c r="K311" s="11"/>
      <c r="L311" s="11">
        <v>0</v>
      </c>
      <c r="M311" s="27">
        <f t="shared" si="44"/>
        <v>0</v>
      </c>
      <c r="N311" s="27">
        <v>0</v>
      </c>
      <c r="O311" s="366">
        <f t="shared" si="46"/>
        <v>0</v>
      </c>
    </row>
    <row r="312" spans="1:15" ht="16.5" customHeight="1" hidden="1">
      <c r="A312" s="26"/>
      <c r="B312" s="21"/>
      <c r="C312" s="11"/>
      <c r="D312" s="11"/>
      <c r="E312" s="11"/>
      <c r="F312" s="11"/>
      <c r="G312" s="11"/>
      <c r="H312" s="11"/>
      <c r="I312" s="11">
        <v>0</v>
      </c>
      <c r="J312" s="11">
        <v>0</v>
      </c>
      <c r="K312" s="11"/>
      <c r="L312" s="11">
        <v>0</v>
      </c>
      <c r="M312" s="27">
        <f t="shared" si="44"/>
        <v>0</v>
      </c>
      <c r="N312" s="27">
        <v>0</v>
      </c>
      <c r="O312" s="366">
        <f t="shared" si="46"/>
        <v>0</v>
      </c>
    </row>
    <row r="313" spans="1:15" ht="13.5" customHeight="1">
      <c r="A313" s="26"/>
      <c r="B313" s="21" t="s">
        <v>758</v>
      </c>
      <c r="C313" s="11" t="s">
        <v>759</v>
      </c>
      <c r="D313" s="11"/>
      <c r="E313" s="11"/>
      <c r="F313" s="11"/>
      <c r="G313" s="11"/>
      <c r="H313" s="11">
        <v>0</v>
      </c>
      <c r="I313" s="11">
        <v>0</v>
      </c>
      <c r="J313" s="11">
        <v>0</v>
      </c>
      <c r="K313" s="11">
        <v>70</v>
      </c>
      <c r="L313" s="11">
        <v>0</v>
      </c>
      <c r="M313" s="27">
        <f t="shared" si="44"/>
        <v>70</v>
      </c>
      <c r="N313" s="27">
        <v>0</v>
      </c>
      <c r="O313" s="366">
        <f t="shared" si="46"/>
        <v>2.4964521848093594E-06</v>
      </c>
    </row>
    <row r="314" spans="1:15" ht="13.5" customHeight="1">
      <c r="A314" s="26"/>
      <c r="B314" s="21" t="s">
        <v>487</v>
      </c>
      <c r="C314" s="11" t="s">
        <v>126</v>
      </c>
      <c r="D314" s="11"/>
      <c r="E314" s="11"/>
      <c r="F314" s="11"/>
      <c r="G314" s="11"/>
      <c r="H314" s="11"/>
      <c r="I314" s="11"/>
      <c r="J314" s="11"/>
      <c r="K314" s="11">
        <v>1000</v>
      </c>
      <c r="L314" s="11">
        <v>0</v>
      </c>
      <c r="M314" s="27">
        <f>K314</f>
        <v>1000</v>
      </c>
      <c r="N314" s="27">
        <v>0</v>
      </c>
      <c r="O314" s="366">
        <f>K314/$K$606</f>
        <v>3.5663602640133705E-05</v>
      </c>
    </row>
    <row r="315" spans="1:15" ht="14.25" customHeight="1">
      <c r="A315" s="26"/>
      <c r="B315" s="21" t="s">
        <v>868</v>
      </c>
      <c r="C315" s="298" t="s">
        <v>887</v>
      </c>
      <c r="D315" s="11">
        <v>0</v>
      </c>
      <c r="E315" s="11">
        <v>257318</v>
      </c>
      <c r="F315" s="11">
        <v>0</v>
      </c>
      <c r="G315" s="11">
        <v>74165</v>
      </c>
      <c r="H315" s="11">
        <f>H316+H317+H318</f>
        <v>339218</v>
      </c>
      <c r="I315" s="11">
        <v>0</v>
      </c>
      <c r="J315" s="11">
        <v>0</v>
      </c>
      <c r="K315" s="11">
        <f>K316+K317+K318</f>
        <v>115833</v>
      </c>
      <c r="L315" s="11">
        <f>L316+L317+L318</f>
        <v>0</v>
      </c>
      <c r="M315" s="27">
        <f t="shared" si="44"/>
        <v>115833</v>
      </c>
      <c r="N315" s="11">
        <f>N316+N317+N318</f>
        <v>0</v>
      </c>
      <c r="O315" s="366">
        <f aca="true" t="shared" si="47" ref="O315:O362">K315/$K$606</f>
        <v>0.004131022084614608</v>
      </c>
    </row>
    <row r="316" spans="1:15" ht="13.5" customHeight="1">
      <c r="A316" s="26"/>
      <c r="B316" s="21"/>
      <c r="C316" s="14" t="s">
        <v>879</v>
      </c>
      <c r="D316" s="11"/>
      <c r="E316" s="11"/>
      <c r="F316" s="11"/>
      <c r="G316" s="11"/>
      <c r="H316" s="11">
        <v>227897</v>
      </c>
      <c r="I316" s="11">
        <v>0</v>
      </c>
      <c r="J316" s="11">
        <v>0</v>
      </c>
      <c r="K316" s="11">
        <v>88261</v>
      </c>
      <c r="L316" s="11">
        <v>0</v>
      </c>
      <c r="M316" s="27">
        <f t="shared" si="44"/>
        <v>88261</v>
      </c>
      <c r="N316" s="27">
        <v>0</v>
      </c>
      <c r="O316" s="366">
        <f t="shared" si="47"/>
        <v>0.003147705232620841</v>
      </c>
    </row>
    <row r="317" spans="1:15" ht="14.25" customHeight="1">
      <c r="A317" s="26"/>
      <c r="B317" s="21"/>
      <c r="C317" s="14" t="s">
        <v>881</v>
      </c>
      <c r="D317" s="11"/>
      <c r="E317" s="11"/>
      <c r="F317" s="11"/>
      <c r="G317" s="11"/>
      <c r="H317" s="11">
        <v>98014</v>
      </c>
      <c r="I317" s="11">
        <v>0</v>
      </c>
      <c r="J317" s="11">
        <v>0</v>
      </c>
      <c r="K317" s="11">
        <v>27572</v>
      </c>
      <c r="L317" s="11">
        <v>0</v>
      </c>
      <c r="M317" s="27">
        <f t="shared" si="44"/>
        <v>27572</v>
      </c>
      <c r="N317" s="27">
        <v>0</v>
      </c>
      <c r="O317" s="366">
        <f t="shared" si="47"/>
        <v>0.0009833168519937665</v>
      </c>
    </row>
    <row r="318" spans="1:15" ht="13.5" customHeight="1">
      <c r="A318" s="26"/>
      <c r="B318" s="21"/>
      <c r="C318" s="11" t="s">
        <v>880</v>
      </c>
      <c r="D318" s="11"/>
      <c r="E318" s="11"/>
      <c r="F318" s="11"/>
      <c r="G318" s="11"/>
      <c r="H318" s="11">
        <v>13307</v>
      </c>
      <c r="I318" s="11">
        <v>0</v>
      </c>
      <c r="J318" s="11">
        <v>0</v>
      </c>
      <c r="K318" s="11">
        <v>0</v>
      </c>
      <c r="L318" s="11">
        <v>0</v>
      </c>
      <c r="M318" s="27">
        <f t="shared" si="44"/>
        <v>0</v>
      </c>
      <c r="N318" s="27">
        <v>0</v>
      </c>
      <c r="O318" s="366">
        <f t="shared" si="47"/>
        <v>0</v>
      </c>
    </row>
    <row r="319" spans="1:15" ht="39.75" customHeight="1" hidden="1">
      <c r="A319" s="26"/>
      <c r="B319" s="21"/>
      <c r="C319" s="14" t="s">
        <v>869</v>
      </c>
      <c r="D319" s="11"/>
      <c r="E319" s="11"/>
      <c r="F319" s="11"/>
      <c r="G319" s="11"/>
      <c r="H319" s="11">
        <v>0</v>
      </c>
      <c r="I319" s="11">
        <v>0</v>
      </c>
      <c r="J319" s="11">
        <v>0</v>
      </c>
      <c r="K319" s="11"/>
      <c r="L319" s="11">
        <v>0</v>
      </c>
      <c r="M319" s="27">
        <f t="shared" si="44"/>
        <v>0</v>
      </c>
      <c r="N319" s="27">
        <v>0</v>
      </c>
      <c r="O319" s="366">
        <f t="shared" si="47"/>
        <v>0</v>
      </c>
    </row>
    <row r="320" spans="1:15" ht="15" customHeight="1">
      <c r="A320" s="26"/>
      <c r="B320" s="21" t="s">
        <v>760</v>
      </c>
      <c r="C320" s="14" t="s">
        <v>882</v>
      </c>
      <c r="D320" s="11"/>
      <c r="E320" s="11">
        <v>654061</v>
      </c>
      <c r="F320" s="11">
        <v>0</v>
      </c>
      <c r="G320" s="11">
        <v>0</v>
      </c>
      <c r="H320" s="11">
        <v>1886648</v>
      </c>
      <c r="I320" s="11">
        <v>0</v>
      </c>
      <c r="J320" s="11">
        <v>0</v>
      </c>
      <c r="K320" s="11">
        <v>0</v>
      </c>
      <c r="L320" s="11">
        <v>0</v>
      </c>
      <c r="M320" s="27">
        <f t="shared" si="44"/>
        <v>0</v>
      </c>
      <c r="N320" s="27">
        <v>0</v>
      </c>
      <c r="O320" s="366">
        <f t="shared" si="47"/>
        <v>0</v>
      </c>
    </row>
    <row r="321" spans="1:15" ht="22.5" customHeight="1" hidden="1">
      <c r="A321" s="29" t="s">
        <v>888</v>
      </c>
      <c r="B321" s="30"/>
      <c r="C321" s="10" t="s">
        <v>889</v>
      </c>
      <c r="D321" s="10" t="e">
        <f>D322+D323+D324+D327+D336+D338+#REF!</f>
        <v>#REF!</v>
      </c>
      <c r="E321" s="10">
        <f>E322+E323+E324+E325+E326+E327+E328+E329+E330+E331+E332+E333+E334+E335+E336+E338</f>
        <v>2163559</v>
      </c>
      <c r="F321" s="10">
        <f>F322+F323+F324+F325+F326+F327+F328+F329+F330+F331+F332+F333+F334+F335+F336+F338</f>
        <v>0</v>
      </c>
      <c r="G321" s="10">
        <f>G322+G323+G324+G325+G326+G327+G328+G329+G330+G331+G332+G333+G334+G335+G336+G338</f>
        <v>0</v>
      </c>
      <c r="H321" s="11"/>
      <c r="I321" s="11"/>
      <c r="J321" s="11"/>
      <c r="K321" s="11"/>
      <c r="L321" s="11">
        <v>0</v>
      </c>
      <c r="M321" s="27" t="e">
        <f>#REF!</f>
        <v>#REF!</v>
      </c>
      <c r="N321" s="27">
        <v>0</v>
      </c>
      <c r="O321" s="366">
        <f t="shared" si="47"/>
        <v>0</v>
      </c>
    </row>
    <row r="322" spans="1:15" ht="21.75" customHeight="1" hidden="1">
      <c r="A322" s="29"/>
      <c r="B322" s="21" t="s">
        <v>720</v>
      </c>
      <c r="C322" s="14" t="s">
        <v>721</v>
      </c>
      <c r="D322" s="11">
        <v>2340654</v>
      </c>
      <c r="E322" s="11">
        <v>1129188</v>
      </c>
      <c r="F322" s="11">
        <v>0</v>
      </c>
      <c r="G322" s="11">
        <v>0</v>
      </c>
      <c r="H322" s="11"/>
      <c r="I322" s="11"/>
      <c r="J322" s="11"/>
      <c r="K322" s="11"/>
      <c r="L322" s="11">
        <v>0</v>
      </c>
      <c r="M322" s="27" t="e">
        <f>#REF!</f>
        <v>#REF!</v>
      </c>
      <c r="N322" s="27">
        <v>0</v>
      </c>
      <c r="O322" s="366">
        <f t="shared" si="47"/>
        <v>0</v>
      </c>
    </row>
    <row r="323" spans="1:15" ht="21.75" customHeight="1" hidden="1">
      <c r="A323" s="29"/>
      <c r="B323" s="21" t="s">
        <v>724</v>
      </c>
      <c r="C323" s="14" t="s">
        <v>725</v>
      </c>
      <c r="D323" s="11">
        <v>166280</v>
      </c>
      <c r="E323" s="11">
        <v>211716</v>
      </c>
      <c r="F323" s="11">
        <v>0</v>
      </c>
      <c r="G323" s="11">
        <v>0</v>
      </c>
      <c r="H323" s="11"/>
      <c r="I323" s="11"/>
      <c r="J323" s="11"/>
      <c r="K323" s="11"/>
      <c r="L323" s="11">
        <v>0</v>
      </c>
      <c r="M323" s="27" t="e">
        <f>#REF!</f>
        <v>#REF!</v>
      </c>
      <c r="N323" s="27">
        <v>0</v>
      </c>
      <c r="O323" s="366">
        <f t="shared" si="47"/>
        <v>0</v>
      </c>
    </row>
    <row r="324" spans="1:15" ht="20.25" customHeight="1" hidden="1">
      <c r="A324" s="29"/>
      <c r="B324" s="28" t="s">
        <v>777</v>
      </c>
      <c r="C324" s="14" t="s">
        <v>793</v>
      </c>
      <c r="D324" s="11">
        <v>456367</v>
      </c>
      <c r="E324" s="11">
        <v>235109</v>
      </c>
      <c r="F324" s="11">
        <v>0</v>
      </c>
      <c r="G324" s="11">
        <v>0</v>
      </c>
      <c r="H324" s="11"/>
      <c r="I324" s="11"/>
      <c r="J324" s="11"/>
      <c r="K324" s="11"/>
      <c r="L324" s="11">
        <v>0</v>
      </c>
      <c r="M324" s="27" t="e">
        <f>#REF!</f>
        <v>#REF!</v>
      </c>
      <c r="N324" s="27">
        <v>0</v>
      </c>
      <c r="O324" s="366">
        <f t="shared" si="47"/>
        <v>0</v>
      </c>
    </row>
    <row r="325" spans="1:15" ht="22.5" customHeight="1" hidden="1">
      <c r="A325" s="29"/>
      <c r="B325" s="28" t="s">
        <v>728</v>
      </c>
      <c r="C325" s="14" t="s">
        <v>729</v>
      </c>
      <c r="D325" s="11"/>
      <c r="E325" s="11">
        <v>33406</v>
      </c>
      <c r="F325" s="11">
        <v>0</v>
      </c>
      <c r="G325" s="11">
        <v>0</v>
      </c>
      <c r="H325" s="23"/>
      <c r="I325" s="23"/>
      <c r="J325" s="23"/>
      <c r="K325" s="23"/>
      <c r="L325" s="11">
        <v>0</v>
      </c>
      <c r="M325" s="27" t="e">
        <f>#REF!</f>
        <v>#REF!</v>
      </c>
      <c r="N325" s="27">
        <v>0</v>
      </c>
      <c r="O325" s="366">
        <f t="shared" si="47"/>
        <v>0</v>
      </c>
    </row>
    <row r="326" spans="1:15" ht="20.25" customHeight="1" hidden="1">
      <c r="A326" s="29"/>
      <c r="B326" s="28"/>
      <c r="C326" s="14" t="s">
        <v>768</v>
      </c>
      <c r="D326" s="11"/>
      <c r="E326" s="11">
        <v>1420</v>
      </c>
      <c r="F326" s="11">
        <v>0</v>
      </c>
      <c r="G326" s="11">
        <v>0</v>
      </c>
      <c r="H326" s="11"/>
      <c r="I326" s="11"/>
      <c r="J326" s="11"/>
      <c r="K326" s="11"/>
      <c r="L326" s="11">
        <v>0</v>
      </c>
      <c r="M326" s="27" t="e">
        <f>#REF!</f>
        <v>#REF!</v>
      </c>
      <c r="N326" s="27">
        <v>0</v>
      </c>
      <c r="O326" s="366">
        <f t="shared" si="47"/>
        <v>0</v>
      </c>
    </row>
    <row r="327" spans="1:15" ht="18.75" customHeight="1" hidden="1">
      <c r="A327" s="29"/>
      <c r="B327" s="21" t="s">
        <v>711</v>
      </c>
      <c r="C327" s="11" t="s">
        <v>756</v>
      </c>
      <c r="D327" s="11">
        <v>637711</v>
      </c>
      <c r="E327" s="11">
        <v>1892</v>
      </c>
      <c r="F327" s="11">
        <v>0</v>
      </c>
      <c r="G327" s="11">
        <v>0</v>
      </c>
      <c r="H327" s="11"/>
      <c r="I327" s="11"/>
      <c r="J327" s="11"/>
      <c r="K327" s="11"/>
      <c r="L327" s="11">
        <v>0</v>
      </c>
      <c r="M327" s="27" t="e">
        <f>#REF!</f>
        <v>#REF!</v>
      </c>
      <c r="N327" s="27">
        <v>0</v>
      </c>
      <c r="O327" s="366">
        <f t="shared" si="47"/>
        <v>0</v>
      </c>
    </row>
    <row r="328" spans="1:15" ht="18" customHeight="1" hidden="1">
      <c r="A328" s="29"/>
      <c r="B328" s="21" t="s">
        <v>730</v>
      </c>
      <c r="C328" s="11" t="s">
        <v>757</v>
      </c>
      <c r="D328" s="11"/>
      <c r="E328" s="11">
        <v>196582</v>
      </c>
      <c r="F328" s="11">
        <v>0</v>
      </c>
      <c r="G328" s="11">
        <v>0</v>
      </c>
      <c r="H328" s="11"/>
      <c r="I328" s="11"/>
      <c r="J328" s="11"/>
      <c r="K328" s="11"/>
      <c r="L328" s="11">
        <v>0</v>
      </c>
      <c r="M328" s="27" t="e">
        <f>#REF!</f>
        <v>#REF!</v>
      </c>
      <c r="N328" s="27">
        <v>0</v>
      </c>
      <c r="O328" s="366">
        <f t="shared" si="47"/>
        <v>0</v>
      </c>
    </row>
    <row r="329" spans="1:15" ht="18.75" customHeight="1" hidden="1">
      <c r="A329" s="29"/>
      <c r="B329" s="21" t="s">
        <v>865</v>
      </c>
      <c r="C329" s="11" t="s">
        <v>890</v>
      </c>
      <c r="D329" s="11"/>
      <c r="E329" s="11">
        <v>2294</v>
      </c>
      <c r="F329" s="11">
        <v>0</v>
      </c>
      <c r="G329" s="11">
        <v>0</v>
      </c>
      <c r="H329" s="10"/>
      <c r="I329" s="10"/>
      <c r="J329" s="10"/>
      <c r="K329" s="10"/>
      <c r="L329" s="11">
        <v>0</v>
      </c>
      <c r="M329" s="27" t="e">
        <f>#REF!</f>
        <v>#REF!</v>
      </c>
      <c r="N329" s="27">
        <v>0</v>
      </c>
      <c r="O329" s="366">
        <f t="shared" si="47"/>
        <v>0</v>
      </c>
    </row>
    <row r="330" spans="1:15" ht="18" customHeight="1" hidden="1">
      <c r="A330" s="29"/>
      <c r="B330" s="21" t="s">
        <v>732</v>
      </c>
      <c r="C330" s="11" t="s">
        <v>733</v>
      </c>
      <c r="D330" s="11"/>
      <c r="E330" s="11">
        <v>41877</v>
      </c>
      <c r="F330" s="11">
        <v>0</v>
      </c>
      <c r="G330" s="11">
        <v>0</v>
      </c>
      <c r="H330" s="11"/>
      <c r="I330" s="11"/>
      <c r="J330" s="11"/>
      <c r="K330" s="11"/>
      <c r="L330" s="11">
        <v>0</v>
      </c>
      <c r="M330" s="27" t="e">
        <f>#REF!</f>
        <v>#REF!</v>
      </c>
      <c r="N330" s="27">
        <v>0</v>
      </c>
      <c r="O330" s="366">
        <f t="shared" si="47"/>
        <v>0</v>
      </c>
    </row>
    <row r="331" spans="1:15" ht="18.75" customHeight="1" hidden="1">
      <c r="A331" s="29"/>
      <c r="B331" s="21" t="s">
        <v>734</v>
      </c>
      <c r="C331" s="11" t="s">
        <v>735</v>
      </c>
      <c r="D331" s="11"/>
      <c r="E331" s="11">
        <v>2075</v>
      </c>
      <c r="F331" s="11">
        <v>0</v>
      </c>
      <c r="G331" s="11">
        <v>0</v>
      </c>
      <c r="H331" s="11"/>
      <c r="I331" s="11"/>
      <c r="J331" s="11"/>
      <c r="K331" s="11"/>
      <c r="L331" s="11">
        <v>0</v>
      </c>
      <c r="M331" s="27" t="e">
        <f>#REF!</f>
        <v>#REF!</v>
      </c>
      <c r="N331" s="27">
        <v>0</v>
      </c>
      <c r="O331" s="366">
        <f t="shared" si="47"/>
        <v>0</v>
      </c>
    </row>
    <row r="332" spans="1:15" ht="18.75" customHeight="1" hidden="1">
      <c r="A332" s="29"/>
      <c r="B332" s="21" t="s">
        <v>736</v>
      </c>
      <c r="C332" s="11" t="s">
        <v>737</v>
      </c>
      <c r="D332" s="11"/>
      <c r="E332" s="11">
        <v>31387</v>
      </c>
      <c r="F332" s="11">
        <v>0</v>
      </c>
      <c r="G332" s="11">
        <v>0</v>
      </c>
      <c r="H332" s="11"/>
      <c r="I332" s="11"/>
      <c r="J332" s="11"/>
      <c r="K332" s="11"/>
      <c r="L332" s="11">
        <v>0</v>
      </c>
      <c r="M332" s="27" t="e">
        <f>#REF!</f>
        <v>#REF!</v>
      </c>
      <c r="N332" s="27">
        <v>0</v>
      </c>
      <c r="O332" s="366">
        <f t="shared" si="47"/>
        <v>0</v>
      </c>
    </row>
    <row r="333" spans="1:15" ht="18.75" customHeight="1" hidden="1">
      <c r="A333" s="29"/>
      <c r="B333" s="21" t="s">
        <v>738</v>
      </c>
      <c r="C333" s="11" t="s">
        <v>891</v>
      </c>
      <c r="D333" s="11"/>
      <c r="E333" s="11">
        <v>3189</v>
      </c>
      <c r="F333" s="11">
        <v>0</v>
      </c>
      <c r="G333" s="11">
        <v>0</v>
      </c>
      <c r="H333" s="11"/>
      <c r="I333" s="11"/>
      <c r="J333" s="11"/>
      <c r="K333" s="11"/>
      <c r="L333" s="11">
        <v>0</v>
      </c>
      <c r="M333" s="27" t="e">
        <f>#REF!</f>
        <v>#REF!</v>
      </c>
      <c r="N333" s="27">
        <v>0</v>
      </c>
      <c r="O333" s="366">
        <f t="shared" si="47"/>
        <v>0</v>
      </c>
    </row>
    <row r="334" spans="1:15" ht="18" customHeight="1" hidden="1">
      <c r="A334" s="29"/>
      <c r="B334" s="21" t="s">
        <v>740</v>
      </c>
      <c r="C334" s="11" t="s">
        <v>897</v>
      </c>
      <c r="D334" s="11"/>
      <c r="E334" s="11">
        <v>0</v>
      </c>
      <c r="F334" s="11">
        <v>0</v>
      </c>
      <c r="G334" s="11">
        <v>0</v>
      </c>
      <c r="H334" s="11"/>
      <c r="I334" s="11"/>
      <c r="J334" s="11"/>
      <c r="K334" s="11"/>
      <c r="L334" s="11">
        <v>0</v>
      </c>
      <c r="M334" s="27" t="e">
        <f>#REF!</f>
        <v>#REF!</v>
      </c>
      <c r="N334" s="27">
        <v>0</v>
      </c>
      <c r="O334" s="366">
        <f t="shared" si="47"/>
        <v>0</v>
      </c>
    </row>
    <row r="335" spans="1:15" ht="18" customHeight="1" hidden="1">
      <c r="A335" s="29"/>
      <c r="B335" s="21" t="s">
        <v>742</v>
      </c>
      <c r="C335" s="11" t="s">
        <v>898</v>
      </c>
      <c r="D335" s="11"/>
      <c r="E335" s="11">
        <v>86736</v>
      </c>
      <c r="F335" s="11">
        <v>0</v>
      </c>
      <c r="G335" s="11">
        <v>0</v>
      </c>
      <c r="H335" s="11"/>
      <c r="I335" s="11"/>
      <c r="J335" s="11"/>
      <c r="K335" s="11"/>
      <c r="L335" s="11">
        <v>0</v>
      </c>
      <c r="M335" s="27" t="e">
        <f>#REF!</f>
        <v>#REF!</v>
      </c>
      <c r="N335" s="27">
        <v>0</v>
      </c>
      <c r="O335" s="366">
        <f t="shared" si="47"/>
        <v>0</v>
      </c>
    </row>
    <row r="336" spans="1:15" ht="18" customHeight="1" hidden="1">
      <c r="A336" s="29"/>
      <c r="B336" s="21" t="s">
        <v>868</v>
      </c>
      <c r="C336" s="14" t="s">
        <v>899</v>
      </c>
      <c r="D336" s="11">
        <f>D337</f>
        <v>496267</v>
      </c>
      <c r="E336" s="23">
        <v>136749</v>
      </c>
      <c r="F336" s="23">
        <f>F337</f>
        <v>0</v>
      </c>
      <c r="G336" s="23">
        <v>0</v>
      </c>
      <c r="H336" s="11"/>
      <c r="I336" s="11"/>
      <c r="J336" s="11"/>
      <c r="K336" s="11"/>
      <c r="L336" s="11">
        <v>0</v>
      </c>
      <c r="M336" s="27" t="e">
        <f>#REF!</f>
        <v>#REF!</v>
      </c>
      <c r="N336" s="27">
        <v>0</v>
      </c>
      <c r="O336" s="366">
        <f t="shared" si="47"/>
        <v>0</v>
      </c>
    </row>
    <row r="337" spans="1:15" ht="17.25" customHeight="1" hidden="1">
      <c r="A337" s="29"/>
      <c r="B337" s="21"/>
      <c r="C337" s="11" t="s">
        <v>879</v>
      </c>
      <c r="D337" s="11">
        <v>496267</v>
      </c>
      <c r="E337" s="11">
        <v>136749</v>
      </c>
      <c r="F337" s="11">
        <v>0</v>
      </c>
      <c r="G337" s="11">
        <v>0</v>
      </c>
      <c r="H337" s="11"/>
      <c r="I337" s="11"/>
      <c r="J337" s="11"/>
      <c r="K337" s="11"/>
      <c r="L337" s="11">
        <v>0</v>
      </c>
      <c r="M337" s="27" t="e">
        <f>#REF!</f>
        <v>#REF!</v>
      </c>
      <c r="N337" s="27">
        <v>0</v>
      </c>
      <c r="O337" s="366">
        <f t="shared" si="47"/>
        <v>0</v>
      </c>
    </row>
    <row r="338" spans="1:15" ht="13.5" customHeight="1" hidden="1">
      <c r="A338" s="29"/>
      <c r="B338" s="21" t="s">
        <v>760</v>
      </c>
      <c r="C338" s="11" t="s">
        <v>882</v>
      </c>
      <c r="D338" s="11">
        <v>55041</v>
      </c>
      <c r="E338" s="11">
        <v>49939</v>
      </c>
      <c r="F338" s="11">
        <v>0</v>
      </c>
      <c r="G338" s="11">
        <v>0</v>
      </c>
      <c r="H338" s="11"/>
      <c r="I338" s="11"/>
      <c r="J338" s="11"/>
      <c r="K338" s="11"/>
      <c r="L338" s="11">
        <v>0</v>
      </c>
      <c r="M338" s="27" t="e">
        <f>#REF!</f>
        <v>#REF!</v>
      </c>
      <c r="N338" s="27">
        <v>0</v>
      </c>
      <c r="O338" s="366">
        <f t="shared" si="47"/>
        <v>0</v>
      </c>
    </row>
    <row r="339" spans="1:15" ht="14.25" customHeight="1" hidden="1">
      <c r="A339" s="29"/>
      <c r="B339" s="21" t="s">
        <v>900</v>
      </c>
      <c r="C339" s="14" t="s">
        <v>901</v>
      </c>
      <c r="D339" s="11"/>
      <c r="E339" s="11">
        <v>0</v>
      </c>
      <c r="F339" s="11">
        <v>0</v>
      </c>
      <c r="G339" s="11">
        <v>0</v>
      </c>
      <c r="H339" s="11"/>
      <c r="I339" s="11"/>
      <c r="J339" s="11"/>
      <c r="K339" s="11"/>
      <c r="L339" s="11">
        <v>0</v>
      </c>
      <c r="M339" s="27" t="e">
        <f>#REF!</f>
        <v>#REF!</v>
      </c>
      <c r="N339" s="27">
        <v>0</v>
      </c>
      <c r="O339" s="366">
        <f t="shared" si="47"/>
        <v>0</v>
      </c>
    </row>
    <row r="340" spans="1:15" ht="17.25" customHeight="1" hidden="1">
      <c r="A340" s="29"/>
      <c r="B340" s="21" t="s">
        <v>847</v>
      </c>
      <c r="C340" s="14" t="s">
        <v>502</v>
      </c>
      <c r="D340" s="11"/>
      <c r="E340" s="11"/>
      <c r="F340" s="11"/>
      <c r="G340" s="11"/>
      <c r="H340" s="11">
        <v>0</v>
      </c>
      <c r="I340" s="11">
        <v>0</v>
      </c>
      <c r="J340" s="11">
        <v>0</v>
      </c>
      <c r="K340" s="11"/>
      <c r="L340" s="11">
        <v>0</v>
      </c>
      <c r="M340" s="27" t="e">
        <f>#REF!</f>
        <v>#REF!</v>
      </c>
      <c r="N340" s="27">
        <v>0</v>
      </c>
      <c r="O340" s="366">
        <f t="shared" si="47"/>
        <v>0</v>
      </c>
    </row>
    <row r="341" spans="1:15" ht="17.25" customHeight="1" hidden="1">
      <c r="A341" s="29"/>
      <c r="B341" s="21" t="s">
        <v>736</v>
      </c>
      <c r="C341" s="14" t="s">
        <v>826</v>
      </c>
      <c r="D341" s="11"/>
      <c r="E341" s="11"/>
      <c r="F341" s="11"/>
      <c r="G341" s="11"/>
      <c r="H341" s="11">
        <v>0</v>
      </c>
      <c r="I341" s="11">
        <v>0</v>
      </c>
      <c r="J341" s="11">
        <v>0</v>
      </c>
      <c r="K341" s="11"/>
      <c r="L341" s="11">
        <v>0</v>
      </c>
      <c r="M341" s="27" t="e">
        <f>#REF!</f>
        <v>#REF!</v>
      </c>
      <c r="N341" s="27">
        <v>0</v>
      </c>
      <c r="O341" s="366">
        <f t="shared" si="47"/>
        <v>0</v>
      </c>
    </row>
    <row r="342" spans="1:15" ht="26.25" customHeight="1" hidden="1">
      <c r="A342" s="20" t="s">
        <v>902</v>
      </c>
      <c r="B342" s="21"/>
      <c r="C342" s="7" t="s">
        <v>903</v>
      </c>
      <c r="D342" s="10" t="e">
        <f>D343+#REF!+D344+D346+D351</f>
        <v>#REF!</v>
      </c>
      <c r="E342" s="10" t="e">
        <f>E343+#REF!+E344+E345+E346+E351</f>
        <v>#REF!</v>
      </c>
      <c r="F342" s="10" t="e">
        <f>F343+#REF!+F344+F345+F346+F351+F352+F353+F354</f>
        <v>#REF!</v>
      </c>
      <c r="G342" s="10" t="e">
        <f>G343+#REF!+G344+G345+G346+G351</f>
        <v>#REF!</v>
      </c>
      <c r="H342" s="10">
        <f aca="true" t="shared" si="48" ref="H342:N342">H343+H344+H345+H347+H351</f>
        <v>0</v>
      </c>
      <c r="I342" s="10">
        <f t="shared" si="48"/>
        <v>0</v>
      </c>
      <c r="J342" s="10">
        <f t="shared" si="48"/>
        <v>0</v>
      </c>
      <c r="K342" s="10"/>
      <c r="L342" s="10">
        <f t="shared" si="48"/>
        <v>0</v>
      </c>
      <c r="M342" s="10">
        <f t="shared" si="48"/>
        <v>0</v>
      </c>
      <c r="N342" s="10">
        <f t="shared" si="48"/>
        <v>0</v>
      </c>
      <c r="O342" s="366">
        <f t="shared" si="47"/>
        <v>0</v>
      </c>
    </row>
    <row r="343" spans="1:15" ht="21.75" customHeight="1" hidden="1">
      <c r="A343" s="559"/>
      <c r="B343" s="21" t="s">
        <v>720</v>
      </c>
      <c r="C343" s="14" t="s">
        <v>721</v>
      </c>
      <c r="D343" s="11">
        <v>0</v>
      </c>
      <c r="E343" s="11">
        <v>13764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/>
      <c r="L343" s="11">
        <v>0</v>
      </c>
      <c r="M343" s="11">
        <v>0</v>
      </c>
      <c r="N343" s="11">
        <v>0</v>
      </c>
      <c r="O343" s="366">
        <f t="shared" si="47"/>
        <v>0</v>
      </c>
    </row>
    <row r="344" spans="1:15" ht="16.5" customHeight="1" hidden="1">
      <c r="A344" s="559"/>
      <c r="B344" s="28" t="s">
        <v>777</v>
      </c>
      <c r="C344" s="14" t="s">
        <v>793</v>
      </c>
      <c r="D344" s="11">
        <v>0</v>
      </c>
      <c r="E344" s="11">
        <v>2430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/>
      <c r="L344" s="11">
        <v>0</v>
      </c>
      <c r="M344" s="11">
        <v>0</v>
      </c>
      <c r="N344" s="11">
        <v>0</v>
      </c>
      <c r="O344" s="366">
        <f t="shared" si="47"/>
        <v>0</v>
      </c>
    </row>
    <row r="345" spans="1:15" ht="21" customHeight="1" hidden="1">
      <c r="A345" s="559"/>
      <c r="B345" s="28" t="s">
        <v>728</v>
      </c>
      <c r="C345" s="14" t="s">
        <v>729</v>
      </c>
      <c r="D345" s="11"/>
      <c r="E345" s="11">
        <v>376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/>
      <c r="L345" s="11">
        <v>0</v>
      </c>
      <c r="M345" s="11">
        <v>0</v>
      </c>
      <c r="N345" s="11">
        <v>0</v>
      </c>
      <c r="O345" s="366">
        <f t="shared" si="47"/>
        <v>0</v>
      </c>
    </row>
    <row r="346" spans="1:15" ht="20.25" customHeight="1" hidden="1">
      <c r="A346" s="559"/>
      <c r="B346" s="21"/>
      <c r="C346" s="11" t="s">
        <v>768</v>
      </c>
      <c r="D346" s="11">
        <v>0</v>
      </c>
      <c r="E346" s="11">
        <v>1100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/>
      <c r="L346" s="11">
        <v>0</v>
      </c>
      <c r="M346" s="11">
        <v>0</v>
      </c>
      <c r="N346" s="11">
        <v>0</v>
      </c>
      <c r="O346" s="366">
        <f t="shared" si="47"/>
        <v>0</v>
      </c>
    </row>
    <row r="347" spans="1:15" ht="16.5" customHeight="1" hidden="1">
      <c r="A347" s="26"/>
      <c r="B347" s="21" t="s">
        <v>742</v>
      </c>
      <c r="C347" s="11" t="s">
        <v>743</v>
      </c>
      <c r="D347" s="11"/>
      <c r="E347" s="11"/>
      <c r="F347" s="11"/>
      <c r="G347" s="11"/>
      <c r="H347" s="11">
        <v>0</v>
      </c>
      <c r="I347" s="11">
        <v>0</v>
      </c>
      <c r="J347" s="11">
        <v>0</v>
      </c>
      <c r="K347" s="11"/>
      <c r="L347" s="11">
        <v>0</v>
      </c>
      <c r="M347" s="11">
        <v>0</v>
      </c>
      <c r="N347" s="11">
        <v>0</v>
      </c>
      <c r="O347" s="366">
        <f t="shared" si="47"/>
        <v>0</v>
      </c>
    </row>
    <row r="348" spans="1:15" ht="18.75" customHeight="1" hidden="1">
      <c r="A348" s="26"/>
      <c r="B348" s="21"/>
      <c r="C348" s="11"/>
      <c r="D348" s="11"/>
      <c r="E348" s="11"/>
      <c r="F348" s="11"/>
      <c r="G348" s="11"/>
      <c r="H348" s="11">
        <v>0</v>
      </c>
      <c r="I348" s="11">
        <v>0</v>
      </c>
      <c r="J348" s="11">
        <v>0</v>
      </c>
      <c r="K348" s="11"/>
      <c r="L348" s="11">
        <v>0</v>
      </c>
      <c r="M348" s="11">
        <v>0</v>
      </c>
      <c r="N348" s="11">
        <v>0</v>
      </c>
      <c r="O348" s="366">
        <f t="shared" si="47"/>
        <v>0</v>
      </c>
    </row>
    <row r="349" spans="1:15" ht="16.5" customHeight="1" hidden="1">
      <c r="A349" s="26"/>
      <c r="B349" s="21"/>
      <c r="C349" s="11"/>
      <c r="D349" s="11"/>
      <c r="E349" s="11"/>
      <c r="F349" s="11"/>
      <c r="G349" s="11"/>
      <c r="H349" s="11">
        <v>0</v>
      </c>
      <c r="I349" s="11">
        <v>0</v>
      </c>
      <c r="J349" s="11">
        <v>0</v>
      </c>
      <c r="K349" s="11"/>
      <c r="L349" s="11">
        <v>0</v>
      </c>
      <c r="M349" s="11">
        <v>0</v>
      </c>
      <c r="N349" s="11">
        <v>0</v>
      </c>
      <c r="O349" s="366">
        <f t="shared" si="47"/>
        <v>0</v>
      </c>
    </row>
    <row r="350" spans="1:15" ht="19.5" customHeight="1" hidden="1">
      <c r="A350" s="26"/>
      <c r="B350" s="21"/>
      <c r="C350" s="11"/>
      <c r="D350" s="11"/>
      <c r="E350" s="11"/>
      <c r="F350" s="11"/>
      <c r="G350" s="11"/>
      <c r="H350" s="11">
        <v>0</v>
      </c>
      <c r="I350" s="11">
        <v>0</v>
      </c>
      <c r="J350" s="11">
        <v>0</v>
      </c>
      <c r="K350" s="11"/>
      <c r="L350" s="11">
        <v>0</v>
      </c>
      <c r="M350" s="11">
        <v>0</v>
      </c>
      <c r="N350" s="11">
        <v>0</v>
      </c>
      <c r="O350" s="366">
        <f t="shared" si="47"/>
        <v>0</v>
      </c>
    </row>
    <row r="351" spans="1:15" ht="25.5" customHeight="1" hidden="1">
      <c r="A351" s="26"/>
      <c r="B351" s="21" t="s">
        <v>868</v>
      </c>
      <c r="C351" s="14" t="s">
        <v>904</v>
      </c>
      <c r="D351" s="11" t="e">
        <f>D352+#REF!+#REF!</f>
        <v>#REF!</v>
      </c>
      <c r="E351" s="11">
        <f>E352+E353+E354</f>
        <v>121567</v>
      </c>
      <c r="F351" s="11">
        <f>F352+F353+F354</f>
        <v>0</v>
      </c>
      <c r="G351" s="11">
        <f>G352+G353+G354</f>
        <v>29180</v>
      </c>
      <c r="H351" s="11">
        <v>0</v>
      </c>
      <c r="I351" s="11">
        <v>0</v>
      </c>
      <c r="J351" s="11">
        <v>0</v>
      </c>
      <c r="K351" s="11"/>
      <c r="L351" s="11">
        <v>0</v>
      </c>
      <c r="M351" s="11">
        <v>0</v>
      </c>
      <c r="N351" s="11">
        <v>0</v>
      </c>
      <c r="O351" s="366">
        <f t="shared" si="47"/>
        <v>0</v>
      </c>
    </row>
    <row r="352" spans="1:15" ht="18.75" customHeight="1" hidden="1">
      <c r="A352" s="26"/>
      <c r="B352" s="21"/>
      <c r="C352" s="31" t="s">
        <v>879</v>
      </c>
      <c r="D352" s="11">
        <v>0</v>
      </c>
      <c r="E352" s="11">
        <v>49189</v>
      </c>
      <c r="F352" s="11">
        <v>0</v>
      </c>
      <c r="G352" s="11">
        <v>4159</v>
      </c>
      <c r="H352" s="11">
        <v>0</v>
      </c>
      <c r="I352" s="11">
        <v>0</v>
      </c>
      <c r="J352" s="11">
        <v>0</v>
      </c>
      <c r="K352" s="11"/>
      <c r="L352" s="11">
        <v>0</v>
      </c>
      <c r="M352" s="11">
        <v>0</v>
      </c>
      <c r="N352" s="11">
        <v>0</v>
      </c>
      <c r="O352" s="366">
        <f t="shared" si="47"/>
        <v>0</v>
      </c>
    </row>
    <row r="353" spans="1:15" ht="18" customHeight="1" hidden="1">
      <c r="A353" s="26"/>
      <c r="B353" s="21"/>
      <c r="C353" s="31" t="s">
        <v>880</v>
      </c>
      <c r="D353" s="11"/>
      <c r="E353" s="11">
        <v>38942</v>
      </c>
      <c r="F353" s="11">
        <v>0</v>
      </c>
      <c r="G353" s="11">
        <v>3187</v>
      </c>
      <c r="H353" s="11">
        <v>0</v>
      </c>
      <c r="I353" s="11">
        <v>0</v>
      </c>
      <c r="J353" s="11">
        <v>0</v>
      </c>
      <c r="K353" s="11"/>
      <c r="L353" s="11">
        <v>0</v>
      </c>
      <c r="M353" s="11">
        <v>0</v>
      </c>
      <c r="N353" s="11">
        <v>0</v>
      </c>
      <c r="O353" s="366">
        <f t="shared" si="47"/>
        <v>0</v>
      </c>
    </row>
    <row r="354" spans="1:15" ht="15" customHeight="1" hidden="1">
      <c r="A354" s="26"/>
      <c r="B354" s="21"/>
      <c r="C354" s="31" t="s">
        <v>905</v>
      </c>
      <c r="D354" s="11"/>
      <c r="E354" s="11">
        <v>33436</v>
      </c>
      <c r="F354" s="11">
        <v>0</v>
      </c>
      <c r="G354" s="11">
        <v>21834</v>
      </c>
      <c r="H354" s="11"/>
      <c r="I354" s="11"/>
      <c r="J354" s="11"/>
      <c r="K354" s="11"/>
      <c r="L354" s="11">
        <v>0</v>
      </c>
      <c r="M354" s="27">
        <f>H354</f>
        <v>0</v>
      </c>
      <c r="N354" s="27">
        <v>0</v>
      </c>
      <c r="O354" s="366">
        <f t="shared" si="47"/>
        <v>0</v>
      </c>
    </row>
    <row r="355" spans="1:15" ht="17.25" customHeight="1">
      <c r="A355" s="29" t="s">
        <v>906</v>
      </c>
      <c r="B355" s="21"/>
      <c r="C355" s="10" t="s">
        <v>907</v>
      </c>
      <c r="D355" s="10">
        <f>D356+D357+D358+D361</f>
        <v>181894</v>
      </c>
      <c r="E355" s="10">
        <f>E356+E357+E358+E359+E361+E365</f>
        <v>139815</v>
      </c>
      <c r="F355" s="10">
        <f>F356+F357+F358+F359+F361+F365</f>
        <v>0</v>
      </c>
      <c r="G355" s="10">
        <f>G356+G357+G358+G359+G361+G365</f>
        <v>0</v>
      </c>
      <c r="H355" s="10">
        <f>H356+H357+H358+H359+H361+H365+H367+H363</f>
        <v>283956</v>
      </c>
      <c r="I355" s="10">
        <f>I356+I357+I358+I359+I361+I365+I367+I363</f>
        <v>0</v>
      </c>
      <c r="J355" s="10">
        <f>J356+J357+J358+J359+J361+J365+J367+J363</f>
        <v>0</v>
      </c>
      <c r="K355" s="10">
        <f>K356+K357+K358+K359+K361+K365+K367+K363+K360+K362+K364</f>
        <v>525490</v>
      </c>
      <c r="L355" s="10">
        <f>L356+L357+L358+L359+L361+L365+L367+L363+L360+L362+L364</f>
        <v>0</v>
      </c>
      <c r="M355" s="10">
        <f>M356+M357+M358+M359+M361+M365+M367+M363+M360+M362+M364</f>
        <v>525490</v>
      </c>
      <c r="N355" s="10">
        <f>N356+N357+N358+N359+N361+N365+N367+N363+N360+N362+N364</f>
        <v>0</v>
      </c>
      <c r="O355" s="366">
        <f t="shared" si="47"/>
        <v>0.018740866551363863</v>
      </c>
    </row>
    <row r="356" spans="1:15" ht="16.5" customHeight="1">
      <c r="A356" s="29"/>
      <c r="B356" s="21" t="s">
        <v>720</v>
      </c>
      <c r="C356" s="14" t="s">
        <v>721</v>
      </c>
      <c r="D356" s="11">
        <v>134523</v>
      </c>
      <c r="E356" s="11">
        <v>97179</v>
      </c>
      <c r="F356" s="11">
        <v>0</v>
      </c>
      <c r="G356" s="11">
        <v>0</v>
      </c>
      <c r="H356" s="11">
        <v>148200</v>
      </c>
      <c r="I356" s="11">
        <v>0</v>
      </c>
      <c r="J356" s="11">
        <v>0</v>
      </c>
      <c r="K356" s="11">
        <v>244125</v>
      </c>
      <c r="L356" s="11">
        <v>0</v>
      </c>
      <c r="M356" s="27">
        <f>K356</f>
        <v>244125</v>
      </c>
      <c r="N356" s="27">
        <v>0</v>
      </c>
      <c r="O356" s="366">
        <f t="shared" si="47"/>
        <v>0.008706376994522641</v>
      </c>
    </row>
    <row r="357" spans="1:15" ht="16.5" customHeight="1">
      <c r="A357" s="29"/>
      <c r="B357" s="21" t="s">
        <v>724</v>
      </c>
      <c r="C357" s="14" t="s">
        <v>725</v>
      </c>
      <c r="D357" s="11">
        <v>12439</v>
      </c>
      <c r="E357" s="11">
        <v>9136</v>
      </c>
      <c r="F357" s="11">
        <v>0</v>
      </c>
      <c r="G357" s="11">
        <v>0</v>
      </c>
      <c r="H357" s="11">
        <v>8185</v>
      </c>
      <c r="I357" s="11">
        <v>0</v>
      </c>
      <c r="J357" s="11">
        <v>0</v>
      </c>
      <c r="K357" s="11">
        <v>19900</v>
      </c>
      <c r="L357" s="11">
        <v>0</v>
      </c>
      <c r="M357" s="27">
        <f aca="true" t="shared" si="49" ref="M357:M367">K357</f>
        <v>19900</v>
      </c>
      <c r="N357" s="27">
        <v>0</v>
      </c>
      <c r="O357" s="366">
        <f t="shared" si="47"/>
        <v>0.0007097056925386608</v>
      </c>
    </row>
    <row r="358" spans="1:15" ht="16.5" customHeight="1">
      <c r="A358" s="29"/>
      <c r="B358" s="28" t="s">
        <v>777</v>
      </c>
      <c r="C358" s="14" t="s">
        <v>793</v>
      </c>
      <c r="D358" s="11">
        <v>28542</v>
      </c>
      <c r="E358" s="11">
        <v>18746</v>
      </c>
      <c r="F358" s="11">
        <v>0</v>
      </c>
      <c r="G358" s="11">
        <v>0</v>
      </c>
      <c r="H358" s="23">
        <v>27400</v>
      </c>
      <c r="I358" s="11">
        <v>0</v>
      </c>
      <c r="J358" s="11">
        <v>0</v>
      </c>
      <c r="K358" s="11">
        <v>47900</v>
      </c>
      <c r="L358" s="11">
        <v>0</v>
      </c>
      <c r="M358" s="27">
        <f t="shared" si="49"/>
        <v>47900</v>
      </c>
      <c r="N358" s="27">
        <v>0</v>
      </c>
      <c r="O358" s="366">
        <f t="shared" si="47"/>
        <v>0.0017082865664624046</v>
      </c>
    </row>
    <row r="359" spans="1:15" ht="16.5" customHeight="1">
      <c r="A359" s="29"/>
      <c r="B359" s="28" t="s">
        <v>728</v>
      </c>
      <c r="C359" s="14" t="s">
        <v>729</v>
      </c>
      <c r="D359" s="11"/>
      <c r="E359" s="11">
        <v>2604</v>
      </c>
      <c r="F359" s="11">
        <v>0</v>
      </c>
      <c r="G359" s="11">
        <v>0</v>
      </c>
      <c r="H359" s="23">
        <v>3760</v>
      </c>
      <c r="I359" s="11">
        <v>0</v>
      </c>
      <c r="J359" s="11">
        <v>0</v>
      </c>
      <c r="K359" s="11">
        <v>6800</v>
      </c>
      <c r="L359" s="11">
        <v>0</v>
      </c>
      <c r="M359" s="27">
        <f t="shared" si="49"/>
        <v>6800</v>
      </c>
      <c r="N359" s="27">
        <v>0</v>
      </c>
      <c r="O359" s="366">
        <f t="shared" si="47"/>
        <v>0.0002425124979529092</v>
      </c>
    </row>
    <row r="360" spans="1:15" ht="16.5" customHeight="1" hidden="1">
      <c r="A360" s="29"/>
      <c r="B360" s="28" t="s">
        <v>711</v>
      </c>
      <c r="C360" s="14" t="s">
        <v>21</v>
      </c>
      <c r="D360" s="11"/>
      <c r="E360" s="11"/>
      <c r="F360" s="11"/>
      <c r="G360" s="11"/>
      <c r="H360" s="23"/>
      <c r="I360" s="11"/>
      <c r="J360" s="11"/>
      <c r="K360" s="11">
        <v>0</v>
      </c>
      <c r="L360" s="11">
        <v>0</v>
      </c>
      <c r="M360" s="27">
        <f t="shared" si="49"/>
        <v>0</v>
      </c>
      <c r="N360" s="27">
        <v>0</v>
      </c>
      <c r="O360" s="366">
        <f t="shared" si="47"/>
        <v>0</v>
      </c>
    </row>
    <row r="361" spans="1:15" ht="16.5" customHeight="1">
      <c r="A361" s="29"/>
      <c r="B361" s="21" t="s">
        <v>730</v>
      </c>
      <c r="C361" s="11" t="s">
        <v>757</v>
      </c>
      <c r="D361" s="11">
        <v>6390</v>
      </c>
      <c r="E361" s="11">
        <v>5029</v>
      </c>
      <c r="F361" s="11">
        <v>0</v>
      </c>
      <c r="G361" s="11">
        <v>0</v>
      </c>
      <c r="H361" s="23">
        <v>400</v>
      </c>
      <c r="I361" s="11">
        <v>0</v>
      </c>
      <c r="J361" s="11">
        <v>0</v>
      </c>
      <c r="K361" s="11">
        <v>2800</v>
      </c>
      <c r="L361" s="11">
        <v>0</v>
      </c>
      <c r="M361" s="27">
        <f t="shared" si="49"/>
        <v>2800</v>
      </c>
      <c r="N361" s="27">
        <v>0</v>
      </c>
      <c r="O361" s="366">
        <f t="shared" si="47"/>
        <v>9.985808739237438E-05</v>
      </c>
    </row>
    <row r="362" spans="1:15" ht="16.5" customHeight="1">
      <c r="A362" s="29"/>
      <c r="B362" s="21" t="s">
        <v>732</v>
      </c>
      <c r="C362" s="11" t="s">
        <v>733</v>
      </c>
      <c r="D362" s="11"/>
      <c r="E362" s="11"/>
      <c r="F362" s="11"/>
      <c r="G362" s="11"/>
      <c r="H362" s="23"/>
      <c r="I362" s="11"/>
      <c r="J362" s="11"/>
      <c r="K362" s="11">
        <v>2500</v>
      </c>
      <c r="L362" s="11">
        <v>0</v>
      </c>
      <c r="M362" s="27">
        <f t="shared" si="49"/>
        <v>2500</v>
      </c>
      <c r="N362" s="27">
        <v>0</v>
      </c>
      <c r="O362" s="366">
        <f t="shared" si="47"/>
        <v>8.915900660033427E-05</v>
      </c>
    </row>
    <row r="363" spans="1:15" ht="16.5" customHeight="1">
      <c r="A363" s="29"/>
      <c r="B363" s="21" t="s">
        <v>736</v>
      </c>
      <c r="C363" s="11" t="s">
        <v>737</v>
      </c>
      <c r="D363" s="11"/>
      <c r="E363" s="11"/>
      <c r="F363" s="11"/>
      <c r="G363" s="11"/>
      <c r="H363" s="23">
        <v>1600</v>
      </c>
      <c r="I363" s="11">
        <v>0</v>
      </c>
      <c r="J363" s="11">
        <v>0</v>
      </c>
      <c r="K363" s="11">
        <v>3500</v>
      </c>
      <c r="L363" s="11">
        <v>0</v>
      </c>
      <c r="M363" s="27">
        <f t="shared" si="49"/>
        <v>3500</v>
      </c>
      <c r="N363" s="27">
        <v>0</v>
      </c>
      <c r="O363" s="366">
        <f aca="true" t="shared" si="50" ref="O363:O394">K363/$K$606</f>
        <v>0.00012482260924046796</v>
      </c>
    </row>
    <row r="364" spans="1:15" ht="16.5" customHeight="1" hidden="1">
      <c r="A364" s="29"/>
      <c r="B364" s="21" t="s">
        <v>738</v>
      </c>
      <c r="C364" s="11" t="s">
        <v>891</v>
      </c>
      <c r="D364" s="11"/>
      <c r="E364" s="11"/>
      <c r="F364" s="11"/>
      <c r="G364" s="11"/>
      <c r="H364" s="23"/>
      <c r="I364" s="11"/>
      <c r="J364" s="11"/>
      <c r="K364" s="11">
        <v>0</v>
      </c>
      <c r="L364" s="11">
        <v>0</v>
      </c>
      <c r="M364" s="27">
        <f t="shared" si="49"/>
        <v>0</v>
      </c>
      <c r="N364" s="27">
        <v>0</v>
      </c>
      <c r="O364" s="366">
        <f t="shared" si="50"/>
        <v>0</v>
      </c>
    </row>
    <row r="365" spans="1:15" ht="15.75" customHeight="1">
      <c r="A365" s="29"/>
      <c r="B365" s="21" t="s">
        <v>742</v>
      </c>
      <c r="C365" s="11" t="s">
        <v>743</v>
      </c>
      <c r="D365" s="11"/>
      <c r="E365" s="11">
        <v>7121</v>
      </c>
      <c r="F365" s="11">
        <v>0</v>
      </c>
      <c r="G365" s="11">
        <v>0</v>
      </c>
      <c r="H365" s="23">
        <v>7875</v>
      </c>
      <c r="I365" s="11">
        <v>0</v>
      </c>
      <c r="J365" s="11">
        <v>0</v>
      </c>
      <c r="K365" s="11">
        <v>17005</v>
      </c>
      <c r="L365" s="11">
        <v>0</v>
      </c>
      <c r="M365" s="27">
        <f t="shared" si="49"/>
        <v>17005</v>
      </c>
      <c r="N365" s="27">
        <v>0</v>
      </c>
      <c r="O365" s="366">
        <f t="shared" si="50"/>
        <v>0.0006064595628954737</v>
      </c>
    </row>
    <row r="366" spans="1:15" ht="36.75" customHeight="1" hidden="1">
      <c r="A366" s="29" t="s">
        <v>908</v>
      </c>
      <c r="B366" s="21"/>
      <c r="C366" s="7" t="s">
        <v>909</v>
      </c>
      <c r="D366" s="10"/>
      <c r="E366" s="10">
        <f>E367</f>
        <v>0</v>
      </c>
      <c r="F366" s="10">
        <f>F367</f>
        <v>0</v>
      </c>
      <c r="G366" s="10">
        <f>G367</f>
        <v>0</v>
      </c>
      <c r="H366" s="10"/>
      <c r="I366" s="11">
        <v>0</v>
      </c>
      <c r="J366" s="11">
        <v>0</v>
      </c>
      <c r="K366" s="11"/>
      <c r="L366" s="10">
        <f>L367</f>
        <v>0</v>
      </c>
      <c r="M366" s="27">
        <f t="shared" si="49"/>
        <v>0</v>
      </c>
      <c r="N366" s="22">
        <f>N367</f>
        <v>0</v>
      </c>
      <c r="O366" s="366">
        <f t="shared" si="50"/>
        <v>0</v>
      </c>
    </row>
    <row r="367" spans="1:15" ht="15.75" customHeight="1">
      <c r="A367" s="29"/>
      <c r="B367" s="21" t="s">
        <v>868</v>
      </c>
      <c r="C367" s="298" t="s">
        <v>132</v>
      </c>
      <c r="D367" s="11"/>
      <c r="E367" s="11">
        <v>0</v>
      </c>
      <c r="F367" s="11">
        <v>0</v>
      </c>
      <c r="G367" s="11">
        <v>0</v>
      </c>
      <c r="H367" s="23">
        <v>86536</v>
      </c>
      <c r="I367" s="11">
        <v>0</v>
      </c>
      <c r="J367" s="11">
        <v>0</v>
      </c>
      <c r="K367" s="11">
        <v>180960</v>
      </c>
      <c r="L367" s="11">
        <v>0</v>
      </c>
      <c r="M367" s="27">
        <f t="shared" si="49"/>
        <v>180960</v>
      </c>
      <c r="N367" s="27">
        <v>0</v>
      </c>
      <c r="O367" s="366">
        <f t="shared" si="50"/>
        <v>0.006453685533758595</v>
      </c>
    </row>
    <row r="368" spans="1:15" ht="15.75" customHeight="1">
      <c r="A368" s="29" t="s">
        <v>915</v>
      </c>
      <c r="B368" s="30"/>
      <c r="C368" s="7" t="s">
        <v>934</v>
      </c>
      <c r="D368" s="10"/>
      <c r="E368" s="10">
        <f>E369+E370+E371+E372+E373</f>
        <v>5839</v>
      </c>
      <c r="F368" s="10">
        <f>F369+F370+F371+F372+F373</f>
        <v>69</v>
      </c>
      <c r="G368" s="10">
        <f>G369+G370+G371+G372+G373</f>
        <v>69</v>
      </c>
      <c r="H368" s="10">
        <f aca="true" t="shared" si="51" ref="H368:N368">H370+H373</f>
        <v>1270</v>
      </c>
      <c r="I368" s="10">
        <f t="shared" si="51"/>
        <v>0</v>
      </c>
      <c r="J368" s="10">
        <f t="shared" si="51"/>
        <v>0</v>
      </c>
      <c r="K368" s="10">
        <f t="shared" si="51"/>
        <v>1800</v>
      </c>
      <c r="L368" s="10">
        <f t="shared" si="51"/>
        <v>0</v>
      </c>
      <c r="M368" s="22">
        <f t="shared" si="51"/>
        <v>1800</v>
      </c>
      <c r="N368" s="22">
        <f t="shared" si="51"/>
        <v>0</v>
      </c>
      <c r="O368" s="366">
        <f t="shared" si="50"/>
        <v>6.419448475224067E-05</v>
      </c>
    </row>
    <row r="369" spans="1:15" ht="0.75" customHeight="1" hidden="1">
      <c r="A369" s="29"/>
      <c r="B369" s="21" t="s">
        <v>718</v>
      </c>
      <c r="C369" s="14" t="s">
        <v>935</v>
      </c>
      <c r="D369" s="11"/>
      <c r="E369" s="11">
        <v>0</v>
      </c>
      <c r="F369" s="11">
        <v>0</v>
      </c>
      <c r="G369" s="11">
        <v>0</v>
      </c>
      <c r="H369" s="10"/>
      <c r="I369" s="10"/>
      <c r="J369" s="10"/>
      <c r="K369" s="10"/>
      <c r="L369" s="11"/>
      <c r="M369" s="27"/>
      <c r="N369" s="27"/>
      <c r="O369" s="366">
        <f t="shared" si="50"/>
        <v>0</v>
      </c>
    </row>
    <row r="370" spans="1:15" ht="16.5" customHeight="1">
      <c r="A370" s="29"/>
      <c r="B370" s="21" t="s">
        <v>730</v>
      </c>
      <c r="C370" s="14" t="s">
        <v>757</v>
      </c>
      <c r="D370" s="11"/>
      <c r="E370" s="11">
        <v>43</v>
      </c>
      <c r="F370" s="11">
        <v>0</v>
      </c>
      <c r="G370" s="11">
        <v>7</v>
      </c>
      <c r="H370" s="11">
        <v>100</v>
      </c>
      <c r="I370" s="11">
        <v>0</v>
      </c>
      <c r="J370" s="11">
        <v>0</v>
      </c>
      <c r="K370" s="11">
        <v>360</v>
      </c>
      <c r="L370" s="11">
        <v>0</v>
      </c>
      <c r="M370" s="27">
        <f>K370</f>
        <v>360</v>
      </c>
      <c r="N370" s="27">
        <v>0</v>
      </c>
      <c r="O370" s="366">
        <f t="shared" si="50"/>
        <v>1.2838896950448134E-05</v>
      </c>
    </row>
    <row r="371" spans="1:15" ht="14.25" customHeight="1" hidden="1">
      <c r="A371" s="29"/>
      <c r="B371" s="21" t="s">
        <v>728</v>
      </c>
      <c r="C371" s="14" t="s">
        <v>729</v>
      </c>
      <c r="D371" s="11"/>
      <c r="E371" s="11">
        <v>6</v>
      </c>
      <c r="F371" s="11">
        <v>0</v>
      </c>
      <c r="G371" s="11">
        <v>1</v>
      </c>
      <c r="H371" s="11"/>
      <c r="I371" s="11"/>
      <c r="J371" s="11"/>
      <c r="K371" s="11"/>
      <c r="L371" s="11"/>
      <c r="M371" s="27"/>
      <c r="N371" s="27"/>
      <c r="O371" s="366">
        <f t="shared" si="50"/>
        <v>0</v>
      </c>
    </row>
    <row r="372" spans="1:15" ht="0.75" customHeight="1" hidden="1">
      <c r="A372" s="29"/>
      <c r="B372" s="21"/>
      <c r="C372" s="11" t="s">
        <v>768</v>
      </c>
      <c r="D372" s="11"/>
      <c r="E372" s="11">
        <v>4540</v>
      </c>
      <c r="F372" s="11">
        <v>0</v>
      </c>
      <c r="G372" s="11">
        <v>61</v>
      </c>
      <c r="H372" s="10"/>
      <c r="I372" s="10"/>
      <c r="J372" s="10"/>
      <c r="K372" s="11"/>
      <c r="L372" s="11"/>
      <c r="M372" s="27"/>
      <c r="N372" s="27"/>
      <c r="O372" s="366">
        <f t="shared" si="50"/>
        <v>0</v>
      </c>
    </row>
    <row r="373" spans="1:15" ht="15" customHeight="1">
      <c r="A373" s="29"/>
      <c r="B373" s="21" t="s">
        <v>736</v>
      </c>
      <c r="C373" s="11" t="s">
        <v>737</v>
      </c>
      <c r="D373" s="11"/>
      <c r="E373" s="11">
        <v>1250</v>
      </c>
      <c r="F373" s="11">
        <v>69</v>
      </c>
      <c r="G373" s="11">
        <v>0</v>
      </c>
      <c r="H373" s="11">
        <v>1170</v>
      </c>
      <c r="I373" s="11">
        <v>0</v>
      </c>
      <c r="J373" s="11">
        <v>0</v>
      </c>
      <c r="K373" s="11">
        <v>1440</v>
      </c>
      <c r="L373" s="11">
        <v>0</v>
      </c>
      <c r="M373" s="27">
        <f>K373</f>
        <v>1440</v>
      </c>
      <c r="N373" s="27">
        <v>0</v>
      </c>
      <c r="O373" s="366">
        <f t="shared" si="50"/>
        <v>5.1355587801792536E-05</v>
      </c>
    </row>
    <row r="374" spans="1:15" ht="16.5" customHeight="1">
      <c r="A374" s="29" t="s">
        <v>936</v>
      </c>
      <c r="B374" s="30"/>
      <c r="C374" s="7" t="s">
        <v>937</v>
      </c>
      <c r="D374" s="10"/>
      <c r="E374" s="10">
        <f>E375</f>
        <v>22260</v>
      </c>
      <c r="F374" s="10">
        <f>F375</f>
        <v>0</v>
      </c>
      <c r="G374" s="10">
        <f>G375</f>
        <v>0</v>
      </c>
      <c r="H374" s="10">
        <f>H375+H376+H377+H378+H379</f>
        <v>39096</v>
      </c>
      <c r="I374" s="10">
        <f>I375+I376+I377+I378+I379</f>
        <v>0</v>
      </c>
      <c r="J374" s="10">
        <f>J375+J376+J377+J378+J379</f>
        <v>0</v>
      </c>
      <c r="K374" s="10">
        <f>K375+K376+K377+K378+K379+K380</f>
        <v>56993</v>
      </c>
      <c r="L374" s="10">
        <f>L375+L376+L377+L378+L379+L380</f>
        <v>0</v>
      </c>
      <c r="M374" s="10">
        <f>M375+M376+M377+M378+M379+M380</f>
        <v>44993</v>
      </c>
      <c r="N374" s="10">
        <f>N375+N376+N377+N378+N379+N380</f>
        <v>12000</v>
      </c>
      <c r="O374" s="366">
        <f t="shared" si="50"/>
        <v>0.0020325757052691404</v>
      </c>
    </row>
    <row r="375" spans="1:15" ht="17.25" customHeight="1">
      <c r="A375" s="29"/>
      <c r="B375" s="21" t="s">
        <v>910</v>
      </c>
      <c r="C375" s="14" t="s">
        <v>287</v>
      </c>
      <c r="D375" s="11"/>
      <c r="E375" s="11">
        <v>22260</v>
      </c>
      <c r="F375" s="11">
        <v>0</v>
      </c>
      <c r="G375" s="11">
        <v>0</v>
      </c>
      <c r="H375" s="23">
        <v>12000</v>
      </c>
      <c r="I375" s="23">
        <v>0</v>
      </c>
      <c r="J375" s="23">
        <v>0</v>
      </c>
      <c r="K375" s="11">
        <v>12000</v>
      </c>
      <c r="L375" s="11">
        <v>0</v>
      </c>
      <c r="M375" s="27">
        <v>0</v>
      </c>
      <c r="N375" s="27">
        <f>K375</f>
        <v>12000</v>
      </c>
      <c r="O375" s="366">
        <f t="shared" si="50"/>
        <v>0.00042796323168160447</v>
      </c>
    </row>
    <row r="376" spans="1:15" ht="15" customHeight="1">
      <c r="A376" s="29"/>
      <c r="B376" s="21" t="s">
        <v>485</v>
      </c>
      <c r="C376" s="14" t="s">
        <v>288</v>
      </c>
      <c r="D376" s="11"/>
      <c r="E376" s="11"/>
      <c r="F376" s="11"/>
      <c r="G376" s="11"/>
      <c r="H376" s="23">
        <v>13500</v>
      </c>
      <c r="I376" s="23">
        <v>0</v>
      </c>
      <c r="J376" s="23">
        <v>0</v>
      </c>
      <c r="K376" s="11">
        <v>13500</v>
      </c>
      <c r="L376" s="11">
        <v>0</v>
      </c>
      <c r="M376" s="27">
        <f>K376</f>
        <v>13500</v>
      </c>
      <c r="N376" s="27">
        <v>0</v>
      </c>
      <c r="O376" s="366">
        <f t="shared" si="50"/>
        <v>0.00048145863564180507</v>
      </c>
    </row>
    <row r="377" spans="1:15" ht="16.5" customHeight="1">
      <c r="A377" s="29"/>
      <c r="B377" s="21" t="s">
        <v>720</v>
      </c>
      <c r="C377" s="14" t="s">
        <v>721</v>
      </c>
      <c r="D377" s="11"/>
      <c r="E377" s="11"/>
      <c r="F377" s="11"/>
      <c r="G377" s="11"/>
      <c r="H377" s="23">
        <v>11300</v>
      </c>
      <c r="I377" s="23">
        <v>0</v>
      </c>
      <c r="J377" s="23">
        <v>0</v>
      </c>
      <c r="K377" s="11">
        <v>15450</v>
      </c>
      <c r="L377" s="11">
        <v>0</v>
      </c>
      <c r="M377" s="27">
        <f>K377</f>
        <v>15450</v>
      </c>
      <c r="N377" s="27">
        <v>0</v>
      </c>
      <c r="O377" s="366">
        <f t="shared" si="50"/>
        <v>0.0005510026607900658</v>
      </c>
    </row>
    <row r="378" spans="1:15" ht="15" customHeight="1">
      <c r="A378" s="29"/>
      <c r="B378" s="21" t="s">
        <v>753</v>
      </c>
      <c r="C378" s="14" t="s">
        <v>793</v>
      </c>
      <c r="D378" s="11"/>
      <c r="E378" s="11"/>
      <c r="F378" s="11"/>
      <c r="G378" s="11"/>
      <c r="H378" s="23">
        <v>2020</v>
      </c>
      <c r="I378" s="23">
        <v>0</v>
      </c>
      <c r="J378" s="23">
        <v>0</v>
      </c>
      <c r="K378" s="11">
        <v>2781</v>
      </c>
      <c r="L378" s="11">
        <v>0</v>
      </c>
      <c r="M378" s="27">
        <f>K378</f>
        <v>2781</v>
      </c>
      <c r="N378" s="27">
        <v>0</v>
      </c>
      <c r="O378" s="366">
        <f t="shared" si="50"/>
        <v>9.918047894221184E-05</v>
      </c>
    </row>
    <row r="379" spans="1:15" ht="15.75" customHeight="1">
      <c r="A379" s="29"/>
      <c r="B379" s="21" t="s">
        <v>728</v>
      </c>
      <c r="C379" s="14" t="s">
        <v>729</v>
      </c>
      <c r="D379" s="11"/>
      <c r="E379" s="11"/>
      <c r="F379" s="11"/>
      <c r="G379" s="11"/>
      <c r="H379" s="23">
        <v>276</v>
      </c>
      <c r="I379" s="23">
        <v>0</v>
      </c>
      <c r="J379" s="23">
        <v>0</v>
      </c>
      <c r="K379" s="11">
        <v>378</v>
      </c>
      <c r="L379" s="11">
        <v>0</v>
      </c>
      <c r="M379" s="27">
        <f>K379</f>
        <v>378</v>
      </c>
      <c r="N379" s="27">
        <v>0</v>
      </c>
      <c r="O379" s="366">
        <f t="shared" si="50"/>
        <v>1.3480841797970541E-05</v>
      </c>
    </row>
    <row r="380" spans="1:15" ht="15.75" customHeight="1">
      <c r="A380" s="29"/>
      <c r="B380" s="21" t="s">
        <v>736</v>
      </c>
      <c r="C380" s="11" t="s">
        <v>737</v>
      </c>
      <c r="D380" s="11"/>
      <c r="E380" s="11"/>
      <c r="F380" s="11"/>
      <c r="G380" s="11"/>
      <c r="H380" s="23"/>
      <c r="I380" s="23"/>
      <c r="J380" s="23"/>
      <c r="K380" s="11">
        <v>12884</v>
      </c>
      <c r="L380" s="11">
        <v>0</v>
      </c>
      <c r="M380" s="27">
        <f>K380</f>
        <v>12884</v>
      </c>
      <c r="N380" s="27">
        <v>0</v>
      </c>
      <c r="O380" s="366">
        <f t="shared" si="50"/>
        <v>0.0004594898564154827</v>
      </c>
    </row>
    <row r="381" spans="1:15" ht="15.75" customHeight="1">
      <c r="A381" s="29" t="s">
        <v>938</v>
      </c>
      <c r="B381" s="21"/>
      <c r="C381" s="10" t="s">
        <v>795</v>
      </c>
      <c r="D381" s="10">
        <f>D386</f>
        <v>75717</v>
      </c>
      <c r="E381" s="10">
        <f>E386</f>
        <v>32249</v>
      </c>
      <c r="F381" s="10">
        <f>F386</f>
        <v>8206</v>
      </c>
      <c r="G381" s="10">
        <f>G386</f>
        <v>0</v>
      </c>
      <c r="H381" s="10">
        <f aca="true" t="shared" si="52" ref="H381:N381">H385</f>
        <v>29430</v>
      </c>
      <c r="I381" s="10">
        <f t="shared" si="52"/>
        <v>0</v>
      </c>
      <c r="J381" s="10">
        <f t="shared" si="52"/>
        <v>0</v>
      </c>
      <c r="K381" s="10">
        <f t="shared" si="52"/>
        <v>0</v>
      </c>
      <c r="L381" s="10">
        <f t="shared" si="52"/>
        <v>0</v>
      </c>
      <c r="M381" s="22">
        <f t="shared" si="52"/>
        <v>0</v>
      </c>
      <c r="N381" s="22">
        <f t="shared" si="52"/>
        <v>0</v>
      </c>
      <c r="O381" s="366">
        <f t="shared" si="50"/>
        <v>0</v>
      </c>
    </row>
    <row r="382" spans="1:15" ht="16.5" customHeight="1" hidden="1">
      <c r="A382" s="37"/>
      <c r="B382" s="3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4"/>
      <c r="N382" s="24">
        <v>0</v>
      </c>
      <c r="O382" s="366">
        <f t="shared" si="50"/>
        <v>0</v>
      </c>
    </row>
    <row r="383" spans="1:15" ht="15.75" customHeight="1" hidden="1">
      <c r="A383" s="37"/>
      <c r="B383" s="3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4"/>
      <c r="N383" s="24">
        <v>0</v>
      </c>
      <c r="O383" s="366">
        <f t="shared" si="50"/>
        <v>0</v>
      </c>
    </row>
    <row r="384" spans="1:15" ht="15" customHeight="1" hidden="1">
      <c r="A384" s="37"/>
      <c r="B384" s="3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4"/>
      <c r="N384" s="24">
        <v>0</v>
      </c>
      <c r="O384" s="366">
        <f t="shared" si="50"/>
        <v>0</v>
      </c>
    </row>
    <row r="385" spans="1:15" ht="15.75" customHeight="1">
      <c r="A385" s="37"/>
      <c r="B385" s="34" t="s">
        <v>742</v>
      </c>
      <c r="C385" s="23" t="s">
        <v>743</v>
      </c>
      <c r="D385" s="23"/>
      <c r="E385" s="23"/>
      <c r="F385" s="23"/>
      <c r="G385" s="23"/>
      <c r="H385" s="23">
        <v>29430</v>
      </c>
      <c r="I385" s="23">
        <v>0</v>
      </c>
      <c r="J385" s="23">
        <v>0</v>
      </c>
      <c r="K385" s="11">
        <v>0</v>
      </c>
      <c r="L385" s="23">
        <v>0</v>
      </c>
      <c r="M385" s="24">
        <f>K385</f>
        <v>0</v>
      </c>
      <c r="N385" s="24">
        <v>0</v>
      </c>
      <c r="O385" s="366">
        <f t="shared" si="50"/>
        <v>0</v>
      </c>
    </row>
    <row r="386" spans="1:15" ht="14.25" customHeight="1" hidden="1">
      <c r="A386" s="29"/>
      <c r="B386" s="21"/>
      <c r="C386" s="11" t="s">
        <v>867</v>
      </c>
      <c r="D386" s="11">
        <v>75717</v>
      </c>
      <c r="E386" s="11">
        <v>32249</v>
      </c>
      <c r="F386" s="11">
        <v>8206</v>
      </c>
      <c r="G386" s="11">
        <v>0</v>
      </c>
      <c r="H386" s="23"/>
      <c r="I386" s="23"/>
      <c r="J386" s="23"/>
      <c r="K386" s="23"/>
      <c r="L386" s="11">
        <v>0</v>
      </c>
      <c r="M386" s="27">
        <f>H386</f>
        <v>0</v>
      </c>
      <c r="N386" s="27">
        <v>0</v>
      </c>
      <c r="O386" s="366">
        <f t="shared" si="50"/>
        <v>0</v>
      </c>
    </row>
    <row r="387" spans="1:15" ht="16.5" customHeight="1">
      <c r="A387" s="20" t="s">
        <v>939</v>
      </c>
      <c r="B387" s="30"/>
      <c r="C387" s="10" t="s">
        <v>940</v>
      </c>
      <c r="D387" s="10">
        <f>D388+D392+D395+D397+D407+D409</f>
        <v>6537254</v>
      </c>
      <c r="E387" s="10" t="e">
        <f>E388+E392+E395+E397+E407+E409</f>
        <v>#REF!</v>
      </c>
      <c r="F387" s="10" t="e">
        <f>F388+F392+F397+F409</f>
        <v>#REF!</v>
      </c>
      <c r="G387" s="10">
        <f>G388+G392+G397+G409</f>
        <v>0</v>
      </c>
      <c r="H387" s="10" t="e">
        <f aca="true" t="shared" si="53" ref="H387:M387">H388+H392+H409</f>
        <v>#REF!</v>
      </c>
      <c r="I387" s="10" t="e">
        <f t="shared" si="53"/>
        <v>#REF!</v>
      </c>
      <c r="J387" s="10" t="e">
        <f t="shared" si="53"/>
        <v>#REF!</v>
      </c>
      <c r="K387" s="10">
        <f t="shared" si="53"/>
        <v>1262224</v>
      </c>
      <c r="L387" s="10">
        <f t="shared" si="53"/>
        <v>467000</v>
      </c>
      <c r="M387" s="22">
        <f t="shared" si="53"/>
        <v>795224</v>
      </c>
      <c r="N387" s="22">
        <f>N388+N392+N397+N409</f>
        <v>0</v>
      </c>
      <c r="O387" s="366">
        <f t="shared" si="50"/>
        <v>0.045015455178840126</v>
      </c>
    </row>
    <row r="388" spans="1:15" ht="16.5" customHeight="1">
      <c r="A388" s="20" t="s">
        <v>941</v>
      </c>
      <c r="B388" s="21"/>
      <c r="C388" s="10" t="s">
        <v>942</v>
      </c>
      <c r="D388" s="10">
        <f>D389+D390+D391</f>
        <v>3752531</v>
      </c>
      <c r="E388" s="10" t="e">
        <f>E389+E390+E391+#REF!</f>
        <v>#REF!</v>
      </c>
      <c r="F388" s="10" t="e">
        <f>F389+F390+F391+#REF!</f>
        <v>#REF!</v>
      </c>
      <c r="G388" s="10">
        <f>G389+G390+G391</f>
        <v>0</v>
      </c>
      <c r="H388" s="10" t="e">
        <f>H389+#REF!+#REF!+#REF!+#REF!+#REF!</f>
        <v>#REF!</v>
      </c>
      <c r="I388" s="10" t="e">
        <f>I389+#REF!+#REF!+#REF!+#REF!+#REF!</f>
        <v>#REF!</v>
      </c>
      <c r="J388" s="10" t="e">
        <f>J389+#REF!+#REF!+#REF!+#REF!+#REF!</f>
        <v>#REF!</v>
      </c>
      <c r="K388" s="10">
        <f>K389</f>
        <v>795224</v>
      </c>
      <c r="L388" s="10">
        <f>L389</f>
        <v>0</v>
      </c>
      <c r="M388" s="10">
        <f>M389</f>
        <v>795224</v>
      </c>
      <c r="N388" s="10">
        <f>N389</f>
        <v>0</v>
      </c>
      <c r="O388" s="366">
        <f t="shared" si="50"/>
        <v>0.028360552745897688</v>
      </c>
    </row>
    <row r="389" spans="1:15" ht="15.75" customHeight="1">
      <c r="A389" s="20"/>
      <c r="B389" s="21" t="s">
        <v>760</v>
      </c>
      <c r="C389" s="23" t="s">
        <v>882</v>
      </c>
      <c r="D389" s="23">
        <v>3638000</v>
      </c>
      <c r="E389" s="23">
        <v>591962</v>
      </c>
      <c r="F389" s="23">
        <v>385000</v>
      </c>
      <c r="G389" s="23">
        <v>0</v>
      </c>
      <c r="H389" s="23">
        <v>142376</v>
      </c>
      <c r="I389" s="23">
        <v>0</v>
      </c>
      <c r="J389" s="23">
        <v>0</v>
      </c>
      <c r="K389" s="11">
        <v>795224</v>
      </c>
      <c r="L389" s="23">
        <v>0</v>
      </c>
      <c r="M389" s="24">
        <f>K389</f>
        <v>795224</v>
      </c>
      <c r="N389" s="24">
        <v>0</v>
      </c>
      <c r="O389" s="366">
        <f t="shared" si="50"/>
        <v>0.028360552745897688</v>
      </c>
    </row>
    <row r="390" spans="1:15" ht="18.75" customHeight="1" hidden="1">
      <c r="A390" s="31"/>
      <c r="B390" s="31" t="s">
        <v>943</v>
      </c>
      <c r="C390" s="32" t="s">
        <v>944</v>
      </c>
      <c r="D390" s="23">
        <v>74531</v>
      </c>
      <c r="E390" s="23">
        <v>0</v>
      </c>
      <c r="F390" s="23">
        <v>0</v>
      </c>
      <c r="G390" s="23">
        <v>0</v>
      </c>
      <c r="H390" s="11"/>
      <c r="I390" s="11"/>
      <c r="J390" s="11"/>
      <c r="K390" s="11"/>
      <c r="L390" s="23"/>
      <c r="M390" s="24"/>
      <c r="N390" s="24"/>
      <c r="O390" s="366">
        <f t="shared" si="50"/>
        <v>0</v>
      </c>
    </row>
    <row r="391" spans="1:15" ht="0.75" customHeight="1" hidden="1">
      <c r="A391" s="31"/>
      <c r="B391" s="31" t="s">
        <v>945</v>
      </c>
      <c r="C391" s="32" t="s">
        <v>14</v>
      </c>
      <c r="D391" s="23">
        <v>40000</v>
      </c>
      <c r="E391" s="23">
        <v>173000</v>
      </c>
      <c r="F391" s="23">
        <v>50000</v>
      </c>
      <c r="G391" s="23">
        <v>0</v>
      </c>
      <c r="H391" s="11"/>
      <c r="I391" s="11"/>
      <c r="J391" s="11"/>
      <c r="K391" s="11"/>
      <c r="L391" s="23">
        <v>0</v>
      </c>
      <c r="M391" s="24">
        <f>H391</f>
        <v>0</v>
      </c>
      <c r="N391" s="24">
        <v>0</v>
      </c>
      <c r="O391" s="366">
        <f t="shared" si="50"/>
        <v>0</v>
      </c>
    </row>
    <row r="392" spans="1:15" ht="15.75" customHeight="1">
      <c r="A392" s="20" t="s">
        <v>15</v>
      </c>
      <c r="B392" s="20"/>
      <c r="C392" s="7" t="s">
        <v>16</v>
      </c>
      <c r="D392" s="10">
        <f>D394</f>
        <v>5000</v>
      </c>
      <c r="E392" s="10">
        <f>E394+E393</f>
        <v>210000</v>
      </c>
      <c r="F392" s="10">
        <f>F394+F393</f>
        <v>97474</v>
      </c>
      <c r="G392" s="10">
        <f>G394+G393</f>
        <v>0</v>
      </c>
      <c r="H392" s="10">
        <f aca="true" t="shared" si="54" ref="H392:M392">H394</f>
        <v>400000</v>
      </c>
      <c r="I392" s="10">
        <f t="shared" si="54"/>
        <v>0</v>
      </c>
      <c r="J392" s="10">
        <f t="shared" si="54"/>
        <v>0</v>
      </c>
      <c r="K392" s="10">
        <f t="shared" si="54"/>
        <v>0</v>
      </c>
      <c r="L392" s="10">
        <f t="shared" si="54"/>
        <v>0</v>
      </c>
      <c r="M392" s="10">
        <f t="shared" si="54"/>
        <v>0</v>
      </c>
      <c r="N392" s="22">
        <f>N393+N394</f>
        <v>0</v>
      </c>
      <c r="O392" s="366">
        <f t="shared" si="50"/>
        <v>0</v>
      </c>
    </row>
    <row r="393" spans="1:15" ht="0.75" customHeight="1" hidden="1">
      <c r="A393" s="33"/>
      <c r="B393" s="33" t="s">
        <v>943</v>
      </c>
      <c r="C393" s="32" t="s">
        <v>944</v>
      </c>
      <c r="D393" s="23"/>
      <c r="E393" s="23">
        <v>0</v>
      </c>
      <c r="F393" s="23">
        <v>25000</v>
      </c>
      <c r="G393" s="23">
        <v>0</v>
      </c>
      <c r="H393" s="11"/>
      <c r="I393" s="11"/>
      <c r="J393" s="11"/>
      <c r="K393" s="11"/>
      <c r="L393" s="23">
        <v>0</v>
      </c>
      <c r="M393" s="24">
        <f>H393</f>
        <v>0</v>
      </c>
      <c r="N393" s="22">
        <v>0</v>
      </c>
      <c r="O393" s="366">
        <f t="shared" si="50"/>
        <v>0</v>
      </c>
    </row>
    <row r="394" spans="1:15" ht="14.25" customHeight="1">
      <c r="A394" s="31"/>
      <c r="B394" s="31" t="s">
        <v>945</v>
      </c>
      <c r="C394" s="32" t="s">
        <v>176</v>
      </c>
      <c r="D394" s="23">
        <v>5000</v>
      </c>
      <c r="E394" s="23">
        <v>210000</v>
      </c>
      <c r="F394" s="23">
        <v>72474</v>
      </c>
      <c r="G394" s="23">
        <v>0</v>
      </c>
      <c r="H394" s="11">
        <v>400000</v>
      </c>
      <c r="I394" s="11">
        <v>0</v>
      </c>
      <c r="J394" s="11">
        <v>0</v>
      </c>
      <c r="K394" s="11">
        <v>0</v>
      </c>
      <c r="L394" s="23">
        <v>0</v>
      </c>
      <c r="M394" s="24">
        <f>K394</f>
        <v>0</v>
      </c>
      <c r="N394" s="24">
        <v>0</v>
      </c>
      <c r="O394" s="366">
        <f t="shared" si="50"/>
        <v>0</v>
      </c>
    </row>
    <row r="395" spans="1:15" ht="18.75" customHeight="1" hidden="1">
      <c r="A395" s="20" t="s">
        <v>17</v>
      </c>
      <c r="B395" s="31"/>
      <c r="C395" s="7" t="s">
        <v>18</v>
      </c>
      <c r="D395" s="10">
        <f>D396</f>
        <v>29325</v>
      </c>
      <c r="E395" s="10">
        <f>E396</f>
        <v>0</v>
      </c>
      <c r="F395" s="10"/>
      <c r="G395" s="10"/>
      <c r="H395" s="11"/>
      <c r="I395" s="11"/>
      <c r="J395" s="11"/>
      <c r="K395" s="11"/>
      <c r="L395" s="10"/>
      <c r="M395" s="22"/>
      <c r="N395" s="22"/>
      <c r="O395" s="366">
        <f aca="true" t="shared" si="55" ref="O395:O423">K395/$K$606</f>
        <v>0</v>
      </c>
    </row>
    <row r="396" spans="1:15" ht="18" customHeight="1" hidden="1">
      <c r="A396" s="31"/>
      <c r="B396" s="31" t="s">
        <v>943</v>
      </c>
      <c r="C396" s="32" t="s">
        <v>944</v>
      </c>
      <c r="D396" s="23">
        <v>29325</v>
      </c>
      <c r="E396" s="23">
        <v>0</v>
      </c>
      <c r="F396" s="23"/>
      <c r="G396" s="23"/>
      <c r="H396" s="11"/>
      <c r="I396" s="11"/>
      <c r="J396" s="11"/>
      <c r="K396" s="11"/>
      <c r="L396" s="23"/>
      <c r="M396" s="24"/>
      <c r="N396" s="24">
        <v>0</v>
      </c>
      <c r="O396" s="366">
        <f t="shared" si="55"/>
        <v>0</v>
      </c>
    </row>
    <row r="397" spans="1:15" ht="15.75" customHeight="1" hidden="1">
      <c r="A397" s="20" t="s">
        <v>19</v>
      </c>
      <c r="B397" s="20"/>
      <c r="C397" s="10" t="s">
        <v>20</v>
      </c>
      <c r="D397" s="10">
        <f>D400+D401+D402+D404</f>
        <v>1222573</v>
      </c>
      <c r="E397" s="10">
        <f aca="true" t="shared" si="56" ref="E397:M397">E400+E401+E402+E403+E404+E405+E406</f>
        <v>1330000</v>
      </c>
      <c r="F397" s="10">
        <f t="shared" si="56"/>
        <v>0</v>
      </c>
      <c r="G397" s="10">
        <f t="shared" si="56"/>
        <v>0</v>
      </c>
      <c r="H397" s="11"/>
      <c r="I397" s="11"/>
      <c r="J397" s="11"/>
      <c r="K397" s="11"/>
      <c r="L397" s="10">
        <f t="shared" si="56"/>
        <v>0</v>
      </c>
      <c r="M397" s="22">
        <f t="shared" si="56"/>
        <v>0</v>
      </c>
      <c r="N397" s="22">
        <f>N400+N401+N402+N403+N404</f>
        <v>0</v>
      </c>
      <c r="O397" s="366">
        <f t="shared" si="55"/>
        <v>0</v>
      </c>
    </row>
    <row r="398" spans="1:15" ht="13.5" customHeight="1" hidden="1">
      <c r="A398" s="20"/>
      <c r="B398" s="33" t="s">
        <v>711</v>
      </c>
      <c r="C398" s="23" t="s">
        <v>21</v>
      </c>
      <c r="D398" s="23"/>
      <c r="E398" s="23"/>
      <c r="F398" s="23"/>
      <c r="G398" s="23"/>
      <c r="H398" s="10"/>
      <c r="I398" s="10"/>
      <c r="J398" s="10"/>
      <c r="K398" s="10"/>
      <c r="L398" s="23"/>
      <c r="M398" s="24"/>
      <c r="N398" s="24"/>
      <c r="O398" s="366">
        <f t="shared" si="55"/>
        <v>0</v>
      </c>
    </row>
    <row r="399" spans="1:15" ht="16.5" customHeight="1" hidden="1">
      <c r="A399" s="20"/>
      <c r="B399" s="33" t="s">
        <v>718</v>
      </c>
      <c r="C399" s="23" t="s">
        <v>22</v>
      </c>
      <c r="D399" s="23"/>
      <c r="E399" s="23"/>
      <c r="F399" s="23"/>
      <c r="G399" s="23"/>
      <c r="H399" s="11"/>
      <c r="I399" s="11"/>
      <c r="J399" s="11"/>
      <c r="K399" s="11"/>
      <c r="L399" s="23"/>
      <c r="M399" s="24"/>
      <c r="N399" s="24"/>
      <c r="O399" s="366">
        <f t="shared" si="55"/>
        <v>0</v>
      </c>
    </row>
    <row r="400" spans="1:15" ht="17.25" customHeight="1" hidden="1">
      <c r="A400" s="559"/>
      <c r="B400" s="31" t="s">
        <v>720</v>
      </c>
      <c r="C400" s="14" t="s">
        <v>721</v>
      </c>
      <c r="D400" s="11">
        <v>921763</v>
      </c>
      <c r="E400" s="11">
        <v>981678</v>
      </c>
      <c r="F400" s="11">
        <v>0</v>
      </c>
      <c r="G400" s="11">
        <v>0</v>
      </c>
      <c r="H400" s="10"/>
      <c r="I400" s="10"/>
      <c r="J400" s="10"/>
      <c r="K400" s="10"/>
      <c r="L400" s="11">
        <f>H400</f>
        <v>0</v>
      </c>
      <c r="M400" s="27">
        <v>0</v>
      </c>
      <c r="N400" s="27">
        <v>0</v>
      </c>
      <c r="O400" s="366">
        <f t="shared" si="55"/>
        <v>0</v>
      </c>
    </row>
    <row r="401" spans="1:15" ht="16.5" customHeight="1" hidden="1">
      <c r="A401" s="559"/>
      <c r="B401" s="31" t="s">
        <v>724</v>
      </c>
      <c r="C401" s="14" t="s">
        <v>725</v>
      </c>
      <c r="D401" s="11">
        <v>73529</v>
      </c>
      <c r="E401" s="11">
        <v>75873</v>
      </c>
      <c r="F401" s="11">
        <v>0</v>
      </c>
      <c r="G401" s="11">
        <v>0</v>
      </c>
      <c r="H401" s="11"/>
      <c r="I401" s="11"/>
      <c r="J401" s="11"/>
      <c r="K401" s="11"/>
      <c r="L401" s="11">
        <f>H401</f>
        <v>0</v>
      </c>
      <c r="M401" s="27">
        <v>0</v>
      </c>
      <c r="N401" s="27">
        <v>0</v>
      </c>
      <c r="O401" s="366">
        <f t="shared" si="55"/>
        <v>0</v>
      </c>
    </row>
    <row r="402" spans="1:15" ht="17.25" customHeight="1" hidden="1">
      <c r="A402" s="559"/>
      <c r="B402" s="28" t="s">
        <v>777</v>
      </c>
      <c r="C402" s="14" t="s">
        <v>793</v>
      </c>
      <c r="D402" s="11">
        <v>188123</v>
      </c>
      <c r="E402" s="11">
        <v>179484</v>
      </c>
      <c r="F402" s="11">
        <v>0</v>
      </c>
      <c r="G402" s="11">
        <v>0</v>
      </c>
      <c r="H402" s="11"/>
      <c r="I402" s="11"/>
      <c r="J402" s="11"/>
      <c r="K402" s="11"/>
      <c r="L402" s="11">
        <f>H402</f>
        <v>0</v>
      </c>
      <c r="M402" s="27">
        <v>0</v>
      </c>
      <c r="N402" s="27">
        <v>0</v>
      </c>
      <c r="O402" s="366">
        <f t="shared" si="55"/>
        <v>0</v>
      </c>
    </row>
    <row r="403" spans="1:15" ht="17.25" customHeight="1" hidden="1">
      <c r="A403" s="559"/>
      <c r="B403" s="28" t="s">
        <v>728</v>
      </c>
      <c r="C403" s="14" t="s">
        <v>729</v>
      </c>
      <c r="D403" s="11"/>
      <c r="E403" s="11">
        <v>25000</v>
      </c>
      <c r="F403" s="11">
        <v>0</v>
      </c>
      <c r="G403" s="11">
        <v>0</v>
      </c>
      <c r="H403" s="11"/>
      <c r="I403" s="11"/>
      <c r="J403" s="11"/>
      <c r="K403" s="11"/>
      <c r="L403" s="11">
        <f>H403</f>
        <v>0</v>
      </c>
      <c r="M403" s="27">
        <v>0</v>
      </c>
      <c r="N403" s="27">
        <v>0</v>
      </c>
      <c r="O403" s="366">
        <f t="shared" si="55"/>
        <v>0</v>
      </c>
    </row>
    <row r="404" spans="1:15" ht="18" customHeight="1" hidden="1">
      <c r="A404" s="559"/>
      <c r="B404" s="31"/>
      <c r="C404" s="11" t="s">
        <v>768</v>
      </c>
      <c r="D404" s="11">
        <v>39158</v>
      </c>
      <c r="E404" s="11">
        <v>21000</v>
      </c>
      <c r="F404" s="11">
        <v>0</v>
      </c>
      <c r="G404" s="11">
        <v>0</v>
      </c>
      <c r="H404" s="10"/>
      <c r="I404" s="10"/>
      <c r="J404" s="10"/>
      <c r="K404" s="10"/>
      <c r="L404" s="11">
        <f>H404</f>
        <v>0</v>
      </c>
      <c r="M404" s="27">
        <v>0</v>
      </c>
      <c r="N404" s="27">
        <v>0</v>
      </c>
      <c r="O404" s="366">
        <f t="shared" si="55"/>
        <v>0</v>
      </c>
    </row>
    <row r="405" spans="1:15" ht="15.75" customHeight="1" hidden="1">
      <c r="A405" s="26"/>
      <c r="B405" s="31" t="s">
        <v>732</v>
      </c>
      <c r="C405" s="11" t="s">
        <v>824</v>
      </c>
      <c r="D405" s="11"/>
      <c r="E405" s="11">
        <v>17179</v>
      </c>
      <c r="F405" s="11">
        <v>0</v>
      </c>
      <c r="G405" s="11">
        <v>0</v>
      </c>
      <c r="H405" s="10"/>
      <c r="I405" s="10"/>
      <c r="J405" s="10"/>
      <c r="K405" s="10"/>
      <c r="L405" s="11"/>
      <c r="M405" s="27"/>
      <c r="N405" s="27"/>
      <c r="O405" s="366">
        <f t="shared" si="55"/>
        <v>0</v>
      </c>
    </row>
    <row r="406" spans="1:15" ht="15.75" customHeight="1" hidden="1">
      <c r="A406" s="26"/>
      <c r="B406" s="31" t="s">
        <v>742</v>
      </c>
      <c r="C406" s="11" t="s">
        <v>743</v>
      </c>
      <c r="D406" s="11"/>
      <c r="E406" s="11">
        <v>29786</v>
      </c>
      <c r="F406" s="11">
        <v>0</v>
      </c>
      <c r="G406" s="11">
        <v>0</v>
      </c>
      <c r="H406" s="11"/>
      <c r="I406" s="11"/>
      <c r="J406" s="11"/>
      <c r="K406" s="11"/>
      <c r="L406" s="11"/>
      <c r="M406" s="27"/>
      <c r="N406" s="27"/>
      <c r="O406" s="366">
        <f t="shared" si="55"/>
        <v>0</v>
      </c>
    </row>
    <row r="407" spans="1:15" ht="15.75" customHeight="1" hidden="1">
      <c r="A407" s="29" t="s">
        <v>23</v>
      </c>
      <c r="B407" s="20"/>
      <c r="C407" s="10" t="s">
        <v>24</v>
      </c>
      <c r="D407" s="10">
        <f>D408</f>
        <v>4495</v>
      </c>
      <c r="E407" s="10">
        <f>E408</f>
        <v>0</v>
      </c>
      <c r="F407" s="10"/>
      <c r="G407" s="10"/>
      <c r="H407" s="11"/>
      <c r="I407" s="11"/>
      <c r="J407" s="11"/>
      <c r="K407" s="11"/>
      <c r="L407" s="10"/>
      <c r="M407" s="22"/>
      <c r="N407" s="22"/>
      <c r="O407" s="366">
        <f t="shared" si="55"/>
        <v>0</v>
      </c>
    </row>
    <row r="408" spans="1:15" ht="17.25" customHeight="1" hidden="1">
      <c r="A408" s="26"/>
      <c r="B408" s="31" t="s">
        <v>943</v>
      </c>
      <c r="C408" s="32" t="s">
        <v>944</v>
      </c>
      <c r="D408" s="11">
        <v>4495</v>
      </c>
      <c r="E408" s="11">
        <v>0</v>
      </c>
      <c r="F408" s="11"/>
      <c r="G408" s="11"/>
      <c r="H408" s="11"/>
      <c r="I408" s="11"/>
      <c r="J408" s="11"/>
      <c r="K408" s="11"/>
      <c r="L408" s="11"/>
      <c r="M408" s="27"/>
      <c r="N408" s="27">
        <v>0</v>
      </c>
      <c r="O408" s="366">
        <f t="shared" si="55"/>
        <v>0</v>
      </c>
    </row>
    <row r="409" spans="1:15" ht="25.5" customHeight="1">
      <c r="A409" s="29" t="s">
        <v>25</v>
      </c>
      <c r="B409" s="31"/>
      <c r="C409" s="7" t="s">
        <v>26</v>
      </c>
      <c r="D409" s="10">
        <f>D410</f>
        <v>1523330</v>
      </c>
      <c r="E409" s="10">
        <f>E410+E411+E412</f>
        <v>2010880</v>
      </c>
      <c r="F409" s="10">
        <f>F410+F411+F412</f>
        <v>0</v>
      </c>
      <c r="G409" s="10">
        <f>G410+G411+G412</f>
        <v>0</v>
      </c>
      <c r="H409" s="10">
        <f aca="true" t="shared" si="57" ref="H409:M409">H411</f>
        <v>363000</v>
      </c>
      <c r="I409" s="10">
        <f t="shared" si="57"/>
        <v>0</v>
      </c>
      <c r="J409" s="10">
        <f t="shared" si="57"/>
        <v>0</v>
      </c>
      <c r="K409" s="10">
        <f t="shared" si="57"/>
        <v>467000</v>
      </c>
      <c r="L409" s="10">
        <f t="shared" si="57"/>
        <v>467000</v>
      </c>
      <c r="M409" s="10">
        <f t="shared" si="57"/>
        <v>0</v>
      </c>
      <c r="N409" s="22">
        <f>N410</f>
        <v>0</v>
      </c>
      <c r="O409" s="366">
        <f t="shared" si="55"/>
        <v>0.01665490243294244</v>
      </c>
    </row>
    <row r="410" spans="1:15" ht="15" customHeight="1" hidden="1">
      <c r="A410" s="26"/>
      <c r="B410" s="31"/>
      <c r="C410" s="14" t="s">
        <v>768</v>
      </c>
      <c r="D410" s="11">
        <v>1523330</v>
      </c>
      <c r="E410" s="11">
        <v>1927964</v>
      </c>
      <c r="F410" s="11">
        <v>0</v>
      </c>
      <c r="G410" s="11">
        <v>0</v>
      </c>
      <c r="H410" s="11"/>
      <c r="I410" s="11"/>
      <c r="J410" s="11"/>
      <c r="K410" s="11"/>
      <c r="L410" s="11">
        <f>H410</f>
        <v>0</v>
      </c>
      <c r="M410" s="27">
        <v>0</v>
      </c>
      <c r="N410" s="27">
        <v>0</v>
      </c>
      <c r="O410" s="366">
        <f t="shared" si="55"/>
        <v>0</v>
      </c>
    </row>
    <row r="411" spans="1:15" ht="13.5" customHeight="1">
      <c r="A411" s="26"/>
      <c r="B411" s="31" t="s">
        <v>27</v>
      </c>
      <c r="C411" s="14" t="s">
        <v>28</v>
      </c>
      <c r="D411" s="11"/>
      <c r="E411" s="11">
        <v>47223</v>
      </c>
      <c r="F411" s="11">
        <v>0</v>
      </c>
      <c r="G411" s="11">
        <v>0</v>
      </c>
      <c r="H411" s="11">
        <v>363000</v>
      </c>
      <c r="I411" s="11">
        <v>0</v>
      </c>
      <c r="J411" s="11">
        <v>0</v>
      </c>
      <c r="K411" s="11">
        <v>467000</v>
      </c>
      <c r="L411" s="11">
        <f>K411</f>
        <v>467000</v>
      </c>
      <c r="M411" s="27">
        <v>0</v>
      </c>
      <c r="N411" s="27">
        <v>0</v>
      </c>
      <c r="O411" s="366">
        <f t="shared" si="55"/>
        <v>0.01665490243294244</v>
      </c>
    </row>
    <row r="412" spans="1:15" ht="24.75" customHeight="1" hidden="1">
      <c r="A412" s="26"/>
      <c r="B412" s="31" t="s">
        <v>29</v>
      </c>
      <c r="C412" s="14" t="s">
        <v>30</v>
      </c>
      <c r="D412" s="11"/>
      <c r="E412" s="11">
        <v>35693</v>
      </c>
      <c r="F412" s="11">
        <v>0</v>
      </c>
      <c r="G412" s="11">
        <v>0</v>
      </c>
      <c r="H412" s="11"/>
      <c r="I412" s="11"/>
      <c r="J412" s="11"/>
      <c r="K412" s="11"/>
      <c r="L412" s="11"/>
      <c r="M412" s="27"/>
      <c r="N412" s="27">
        <v>0</v>
      </c>
      <c r="O412" s="366">
        <f t="shared" si="55"/>
        <v>0</v>
      </c>
    </row>
    <row r="413" spans="1:15" ht="17.25" customHeight="1">
      <c r="A413" s="20" t="s">
        <v>832</v>
      </c>
      <c r="B413" s="20"/>
      <c r="C413" s="10" t="s">
        <v>840</v>
      </c>
      <c r="D413" s="10" t="e">
        <f>D414+D432+D453+#REF!+D460+D482+#REF!+D502</f>
        <v>#REF!</v>
      </c>
      <c r="E413" s="10" t="e">
        <f>E414+E432+E453+#REF!+E460+E482+#REF!+#REF!+E502+#REF!</f>
        <v>#REF!</v>
      </c>
      <c r="F413" s="10" t="e">
        <f>F414+F432+F453+#REF!+F460+F482+#REF!+#REF!+F502+#REF!</f>
        <v>#REF!</v>
      </c>
      <c r="G413" s="10" t="e">
        <f>G414+G432+G453+#REF!+G460+G482+#REF!+#REF!+G502+#REF!</f>
        <v>#REF!</v>
      </c>
      <c r="H413" s="10" t="e">
        <f>H414+H432+H453+#REF!+H460+H482+#REF!+#REF!+H502+#REF!</f>
        <v>#REF!</v>
      </c>
      <c r="I413" s="10" t="e">
        <f>I414+I432+I453+#REF!+I460+I482+#REF!+#REF!+I502+#REF!</f>
        <v>#REF!</v>
      </c>
      <c r="J413" s="10" t="e">
        <f>J414+J432+J453+#REF!+J460+J482+#REF!+#REF!+J502+#REF!</f>
        <v>#REF!</v>
      </c>
      <c r="K413" s="10">
        <f>K414+K432+K453+K458+K460+K474+K484+K486</f>
        <v>3074299</v>
      </c>
      <c r="L413" s="10">
        <f>L414+L432+L453+L458+L460+L474+L484+L486</f>
        <v>10000</v>
      </c>
      <c r="M413" s="10">
        <f>M414+M432+M453+M458+M460+M474+M484+M486</f>
        <v>2721860</v>
      </c>
      <c r="N413" s="10">
        <f>N414+N432+N453+N458+N460+N474+N484+N486</f>
        <v>342439</v>
      </c>
      <c r="O413" s="366">
        <f t="shared" si="55"/>
        <v>0.10964057793296042</v>
      </c>
    </row>
    <row r="414" spans="1:15" ht="14.25" customHeight="1">
      <c r="A414" s="20" t="s">
        <v>834</v>
      </c>
      <c r="B414" s="20"/>
      <c r="C414" s="7" t="s">
        <v>32</v>
      </c>
      <c r="D414" s="10">
        <f>D415+D416+D417+D419</f>
        <v>2200940</v>
      </c>
      <c r="E414" s="10" t="e">
        <f>E415+E416+E417+E418+E419+E420+#REF!+E421+E422+E423+#REF!+E425+#REF!+E426+E427+E428+E429+E430</f>
        <v>#REF!</v>
      </c>
      <c r="F414" s="10" t="e">
        <f>F415+F416+F417+F418+F419+F420+#REF!+F421+F422+F423+#REF!+F425+#REF!+F426+F427+F428+F429+F430</f>
        <v>#REF!</v>
      </c>
      <c r="G414" s="10" t="e">
        <f>G415+G416+G417+G418+G419+G420+#REF!+G421+G422+G423+#REF!+G425+#REF!+G426+G427+G428+G429+G430</f>
        <v>#REF!</v>
      </c>
      <c r="H414" s="10">
        <f>H415+H416+H417+H418+H420+H421+H422+H423+H425+H426+H427+H428+H429+H430+H424</f>
        <v>721156</v>
      </c>
      <c r="I414" s="10">
        <f>I415+I416+I417+I418+I420+I421+I422+I423+I425+I426+I427+I428+I429+I430+I424</f>
        <v>0</v>
      </c>
      <c r="J414" s="10">
        <f>J415+J416+J417+J418+J420+J421+J422+J423+J425+J426+J427+J428+J429+J430+J424</f>
        <v>0</v>
      </c>
      <c r="K414" s="10">
        <f>K415+K416+K417+K418+K420+K421+K422+K423+K425+K426+K427+K428+K429+K430+K431+K424</f>
        <v>1232088</v>
      </c>
      <c r="L414" s="10">
        <f>L415+L416+L417+L418+L420+L421+L422+L423+L425+L426+L427+L428+L429+L430+L431+L424</f>
        <v>0</v>
      </c>
      <c r="M414" s="10">
        <f>M415+M416+M417+M418+M420+M421+M422+M423+M424+M425+M426+M427+M428+M429</f>
        <v>903973</v>
      </c>
      <c r="N414" s="10">
        <f>N431</f>
        <v>328115</v>
      </c>
      <c r="O414" s="366">
        <f t="shared" si="55"/>
        <v>0.04394069684967706</v>
      </c>
    </row>
    <row r="415" spans="1:15" ht="16.5" customHeight="1">
      <c r="A415" s="20"/>
      <c r="B415" s="31" t="s">
        <v>720</v>
      </c>
      <c r="C415" s="14" t="s">
        <v>721</v>
      </c>
      <c r="D415" s="11">
        <v>956632</v>
      </c>
      <c r="E415" s="11">
        <v>1089025</v>
      </c>
      <c r="F415" s="11">
        <v>0</v>
      </c>
      <c r="G415" s="11">
        <v>0</v>
      </c>
      <c r="H415" s="11">
        <v>335820</v>
      </c>
      <c r="I415" s="11">
        <v>0</v>
      </c>
      <c r="J415" s="11">
        <v>0</v>
      </c>
      <c r="K415" s="11">
        <v>464806</v>
      </c>
      <c r="L415" s="11">
        <v>0</v>
      </c>
      <c r="M415" s="27">
        <f>K415</f>
        <v>464806</v>
      </c>
      <c r="N415" s="27">
        <v>0</v>
      </c>
      <c r="O415" s="366">
        <f t="shared" si="55"/>
        <v>0.016576656488749987</v>
      </c>
    </row>
    <row r="416" spans="1:15" ht="15" customHeight="1">
      <c r="A416" s="20"/>
      <c r="B416" s="31" t="s">
        <v>724</v>
      </c>
      <c r="C416" s="14" t="s">
        <v>725</v>
      </c>
      <c r="D416" s="14">
        <v>70520</v>
      </c>
      <c r="E416" s="11">
        <v>77400</v>
      </c>
      <c r="F416" s="11">
        <v>0</v>
      </c>
      <c r="G416" s="11">
        <v>0</v>
      </c>
      <c r="H416" s="11">
        <v>29155</v>
      </c>
      <c r="I416" s="11">
        <v>0</v>
      </c>
      <c r="J416" s="11">
        <v>0</v>
      </c>
      <c r="K416" s="11">
        <v>29521</v>
      </c>
      <c r="L416" s="11">
        <v>0</v>
      </c>
      <c r="M416" s="27">
        <f aca="true" t="shared" si="58" ref="M416:M429">K416</f>
        <v>29521</v>
      </c>
      <c r="N416" s="27">
        <v>0</v>
      </c>
      <c r="O416" s="366">
        <f t="shared" si="55"/>
        <v>0.0010528252135393872</v>
      </c>
    </row>
    <row r="417" spans="1:15" ht="15" customHeight="1">
      <c r="A417" s="20"/>
      <c r="B417" s="28" t="s">
        <v>777</v>
      </c>
      <c r="C417" s="14" t="s">
        <v>793</v>
      </c>
      <c r="D417" s="11">
        <v>208573</v>
      </c>
      <c r="E417" s="11">
        <v>207904</v>
      </c>
      <c r="F417" s="11">
        <v>0</v>
      </c>
      <c r="G417" s="11">
        <v>0</v>
      </c>
      <c r="H417" s="11">
        <v>65200</v>
      </c>
      <c r="I417" s="11">
        <v>0</v>
      </c>
      <c r="J417" s="11">
        <v>0</v>
      </c>
      <c r="K417" s="11">
        <v>82058</v>
      </c>
      <c r="L417" s="11">
        <v>0</v>
      </c>
      <c r="M417" s="27">
        <f t="shared" si="58"/>
        <v>82058</v>
      </c>
      <c r="N417" s="27">
        <v>0</v>
      </c>
      <c r="O417" s="366">
        <f t="shared" si="55"/>
        <v>0.002926483905444092</v>
      </c>
    </row>
    <row r="418" spans="1:15" ht="14.25" customHeight="1">
      <c r="A418" s="20"/>
      <c r="B418" s="28" t="s">
        <v>728</v>
      </c>
      <c r="C418" s="14" t="s">
        <v>729</v>
      </c>
      <c r="D418" s="11"/>
      <c r="E418" s="11">
        <v>27489</v>
      </c>
      <c r="F418" s="11">
        <v>0</v>
      </c>
      <c r="G418" s="11">
        <v>0</v>
      </c>
      <c r="H418" s="11">
        <v>8940</v>
      </c>
      <c r="I418" s="11">
        <v>0</v>
      </c>
      <c r="J418" s="11">
        <v>0</v>
      </c>
      <c r="K418" s="11">
        <v>11339</v>
      </c>
      <c r="L418" s="11">
        <v>0</v>
      </c>
      <c r="M418" s="27">
        <f t="shared" si="58"/>
        <v>11339</v>
      </c>
      <c r="N418" s="27">
        <v>0</v>
      </c>
      <c r="O418" s="366">
        <f t="shared" si="55"/>
        <v>0.0004043895903364761</v>
      </c>
    </row>
    <row r="419" spans="1:15" ht="17.25" customHeight="1" hidden="1">
      <c r="A419" s="20"/>
      <c r="B419" s="31"/>
      <c r="C419" s="11" t="s">
        <v>768</v>
      </c>
      <c r="D419" s="11">
        <v>965215</v>
      </c>
      <c r="E419" s="11">
        <v>2749</v>
      </c>
      <c r="F419" s="11">
        <v>0</v>
      </c>
      <c r="G419" s="11">
        <v>0</v>
      </c>
      <c r="H419" s="11"/>
      <c r="I419" s="11">
        <v>0</v>
      </c>
      <c r="J419" s="11">
        <v>0</v>
      </c>
      <c r="K419" s="11"/>
      <c r="L419" s="11">
        <v>0</v>
      </c>
      <c r="M419" s="27">
        <f t="shared" si="58"/>
        <v>0</v>
      </c>
      <c r="N419" s="27">
        <v>0</v>
      </c>
      <c r="O419" s="366">
        <f t="shared" si="55"/>
        <v>0</v>
      </c>
    </row>
    <row r="420" spans="1:15" ht="15.75" customHeight="1">
      <c r="A420" s="20"/>
      <c r="B420" s="31" t="s">
        <v>711</v>
      </c>
      <c r="C420" s="11" t="s">
        <v>21</v>
      </c>
      <c r="D420" s="11"/>
      <c r="E420" s="11">
        <v>10492</v>
      </c>
      <c r="F420" s="11">
        <v>0</v>
      </c>
      <c r="G420" s="11">
        <v>0</v>
      </c>
      <c r="H420" s="11">
        <v>2952</v>
      </c>
      <c r="I420" s="11">
        <v>0</v>
      </c>
      <c r="J420" s="11">
        <v>0</v>
      </c>
      <c r="K420" s="11">
        <v>618</v>
      </c>
      <c r="L420" s="11">
        <v>0</v>
      </c>
      <c r="M420" s="27">
        <f t="shared" si="58"/>
        <v>618</v>
      </c>
      <c r="N420" s="27">
        <v>0</v>
      </c>
      <c r="O420" s="366">
        <f t="shared" si="55"/>
        <v>2.2040106431602632E-05</v>
      </c>
    </row>
    <row r="421" spans="1:15" ht="15.75" customHeight="1">
      <c r="A421" s="20"/>
      <c r="B421" s="31" t="s">
        <v>33</v>
      </c>
      <c r="C421" s="11" t="s">
        <v>34</v>
      </c>
      <c r="D421" s="11"/>
      <c r="E421" s="11">
        <v>101199</v>
      </c>
      <c r="F421" s="11">
        <v>0</v>
      </c>
      <c r="G421" s="11">
        <v>0</v>
      </c>
      <c r="H421" s="11">
        <v>103850</v>
      </c>
      <c r="I421" s="11">
        <v>0</v>
      </c>
      <c r="J421" s="11">
        <v>0</v>
      </c>
      <c r="K421" s="11">
        <v>55830</v>
      </c>
      <c r="L421" s="11">
        <v>0</v>
      </c>
      <c r="M421" s="27">
        <f t="shared" si="58"/>
        <v>55830</v>
      </c>
      <c r="N421" s="27">
        <v>0</v>
      </c>
      <c r="O421" s="366">
        <f t="shared" si="55"/>
        <v>0.001991098935398665</v>
      </c>
    </row>
    <row r="422" spans="1:15" ht="15" customHeight="1">
      <c r="A422" s="20"/>
      <c r="B422" s="31" t="s">
        <v>730</v>
      </c>
      <c r="C422" s="11" t="s">
        <v>872</v>
      </c>
      <c r="D422" s="11"/>
      <c r="E422" s="11">
        <v>96956</v>
      </c>
      <c r="F422" s="11">
        <v>0</v>
      </c>
      <c r="G422" s="11">
        <v>0</v>
      </c>
      <c r="H422" s="11">
        <v>36573</v>
      </c>
      <c r="I422" s="11">
        <v>0</v>
      </c>
      <c r="J422" s="11">
        <v>0</v>
      </c>
      <c r="K422" s="11">
        <v>47876</v>
      </c>
      <c r="L422" s="11">
        <v>0</v>
      </c>
      <c r="M422" s="27">
        <f t="shared" si="58"/>
        <v>47876</v>
      </c>
      <c r="N422" s="27">
        <v>0</v>
      </c>
      <c r="O422" s="366">
        <f t="shared" si="55"/>
        <v>0.0017074306399990414</v>
      </c>
    </row>
    <row r="423" spans="1:15" ht="16.5" customHeight="1">
      <c r="A423" s="20"/>
      <c r="B423" s="31" t="s">
        <v>820</v>
      </c>
      <c r="C423" s="11" t="s">
        <v>35</v>
      </c>
      <c r="D423" s="11"/>
      <c r="E423" s="11">
        <v>188099</v>
      </c>
      <c r="F423" s="11">
        <v>0</v>
      </c>
      <c r="G423" s="11">
        <v>0</v>
      </c>
      <c r="H423" s="23">
        <v>50136</v>
      </c>
      <c r="I423" s="11">
        <v>0</v>
      </c>
      <c r="J423" s="11">
        <v>0</v>
      </c>
      <c r="K423" s="11">
        <v>54900</v>
      </c>
      <c r="L423" s="11">
        <v>0</v>
      </c>
      <c r="M423" s="27">
        <f t="shared" si="58"/>
        <v>54900</v>
      </c>
      <c r="N423" s="27">
        <v>0</v>
      </c>
      <c r="O423" s="366">
        <f t="shared" si="55"/>
        <v>0.0019579317849433404</v>
      </c>
    </row>
    <row r="424" spans="1:15" ht="15.75" customHeight="1">
      <c r="A424" s="20"/>
      <c r="B424" s="31" t="s">
        <v>41</v>
      </c>
      <c r="C424" s="11" t="s">
        <v>42</v>
      </c>
      <c r="D424" s="11"/>
      <c r="E424" s="11"/>
      <c r="F424" s="11"/>
      <c r="G424" s="11"/>
      <c r="H424" s="23">
        <v>1500</v>
      </c>
      <c r="I424" s="11">
        <v>0</v>
      </c>
      <c r="J424" s="11">
        <v>0</v>
      </c>
      <c r="K424" s="11">
        <v>2400</v>
      </c>
      <c r="L424" s="11">
        <v>0</v>
      </c>
      <c r="M424" s="27">
        <f t="shared" si="58"/>
        <v>2400</v>
      </c>
      <c r="N424" s="27">
        <v>0</v>
      </c>
      <c r="O424" s="366">
        <f aca="true" t="shared" si="59" ref="O424:O435">K424/$K$606</f>
        <v>8.559264633632089E-05</v>
      </c>
    </row>
    <row r="425" spans="1:15" ht="16.5" customHeight="1">
      <c r="A425" s="20"/>
      <c r="B425" s="31" t="s">
        <v>732</v>
      </c>
      <c r="C425" s="11" t="s">
        <v>824</v>
      </c>
      <c r="D425" s="11"/>
      <c r="E425" s="11">
        <v>82690</v>
      </c>
      <c r="F425" s="11">
        <v>0</v>
      </c>
      <c r="G425" s="11">
        <v>0</v>
      </c>
      <c r="H425" s="11">
        <v>63330</v>
      </c>
      <c r="I425" s="11">
        <v>0</v>
      </c>
      <c r="J425" s="11">
        <v>0</v>
      </c>
      <c r="K425" s="11">
        <v>104400</v>
      </c>
      <c r="L425" s="11">
        <v>0</v>
      </c>
      <c r="M425" s="27">
        <f t="shared" si="58"/>
        <v>104400</v>
      </c>
      <c r="N425" s="27">
        <v>0</v>
      </c>
      <c r="O425" s="366">
        <f t="shared" si="59"/>
        <v>0.003723280115629959</v>
      </c>
    </row>
    <row r="426" spans="1:15" ht="16.5" customHeight="1">
      <c r="A426" s="20"/>
      <c r="B426" s="31" t="s">
        <v>736</v>
      </c>
      <c r="C426" s="11" t="s">
        <v>826</v>
      </c>
      <c r="D426" s="11"/>
      <c r="E426" s="11">
        <v>39235</v>
      </c>
      <c r="F426" s="11">
        <v>0</v>
      </c>
      <c r="G426" s="11">
        <v>0</v>
      </c>
      <c r="H426" s="11">
        <v>8500</v>
      </c>
      <c r="I426" s="11">
        <v>0</v>
      </c>
      <c r="J426" s="11">
        <v>0</v>
      </c>
      <c r="K426" s="11">
        <v>23480</v>
      </c>
      <c r="L426" s="11">
        <v>0</v>
      </c>
      <c r="M426" s="27">
        <f t="shared" si="58"/>
        <v>23480</v>
      </c>
      <c r="N426" s="27">
        <v>0</v>
      </c>
      <c r="O426" s="366">
        <f t="shared" si="59"/>
        <v>0.0008373813899903394</v>
      </c>
    </row>
    <row r="427" spans="1:15" ht="16.5" customHeight="1">
      <c r="A427" s="20"/>
      <c r="B427" s="31" t="s">
        <v>738</v>
      </c>
      <c r="C427" s="11" t="s">
        <v>739</v>
      </c>
      <c r="D427" s="11"/>
      <c r="E427" s="11">
        <v>2500</v>
      </c>
      <c r="F427" s="11">
        <v>0</v>
      </c>
      <c r="G427" s="11">
        <v>0</v>
      </c>
      <c r="H427" s="11">
        <v>500</v>
      </c>
      <c r="I427" s="11">
        <v>0</v>
      </c>
      <c r="J427" s="11">
        <v>0</v>
      </c>
      <c r="K427" s="11">
        <v>2300</v>
      </c>
      <c r="L427" s="11">
        <v>0</v>
      </c>
      <c r="M427" s="27">
        <f t="shared" si="58"/>
        <v>2300</v>
      </c>
      <c r="N427" s="27">
        <v>0</v>
      </c>
      <c r="O427" s="366">
        <f t="shared" si="59"/>
        <v>8.202628607230753E-05</v>
      </c>
    </row>
    <row r="428" spans="1:15" ht="16.5" customHeight="1">
      <c r="A428" s="20"/>
      <c r="B428" s="31" t="s">
        <v>740</v>
      </c>
      <c r="C428" s="11" t="s">
        <v>741</v>
      </c>
      <c r="D428" s="11"/>
      <c r="E428" s="11">
        <v>3300</v>
      </c>
      <c r="F428" s="11">
        <v>0</v>
      </c>
      <c r="G428" s="11">
        <v>0</v>
      </c>
      <c r="H428" s="11">
        <v>700</v>
      </c>
      <c r="I428" s="11">
        <v>0</v>
      </c>
      <c r="J428" s="11">
        <v>0</v>
      </c>
      <c r="K428" s="11">
        <v>900</v>
      </c>
      <c r="L428" s="11">
        <v>0</v>
      </c>
      <c r="M428" s="27">
        <f t="shared" si="58"/>
        <v>900</v>
      </c>
      <c r="N428" s="27">
        <v>0</v>
      </c>
      <c r="O428" s="366">
        <f t="shared" si="59"/>
        <v>3.2097242376120335E-05</v>
      </c>
    </row>
    <row r="429" spans="1:15" ht="15" customHeight="1">
      <c r="A429" s="20"/>
      <c r="B429" s="31" t="s">
        <v>742</v>
      </c>
      <c r="C429" s="11" t="s">
        <v>743</v>
      </c>
      <c r="D429" s="11"/>
      <c r="E429" s="11">
        <v>50719</v>
      </c>
      <c r="F429" s="11">
        <v>0</v>
      </c>
      <c r="G429" s="11">
        <v>0</v>
      </c>
      <c r="H429" s="11">
        <v>14000</v>
      </c>
      <c r="I429" s="11">
        <v>0</v>
      </c>
      <c r="J429" s="11">
        <v>0</v>
      </c>
      <c r="K429" s="11">
        <v>23545</v>
      </c>
      <c r="L429" s="11">
        <v>0</v>
      </c>
      <c r="M429" s="27">
        <f t="shared" si="58"/>
        <v>23545</v>
      </c>
      <c r="N429" s="27">
        <v>0</v>
      </c>
      <c r="O429" s="366">
        <f t="shared" si="59"/>
        <v>0.0008396995241619482</v>
      </c>
    </row>
    <row r="430" spans="1:15" ht="33.75" customHeight="1" hidden="1">
      <c r="A430" s="20"/>
      <c r="B430" s="31" t="s">
        <v>37</v>
      </c>
      <c r="C430" s="14" t="s">
        <v>38</v>
      </c>
      <c r="D430" s="11"/>
      <c r="E430" s="11">
        <v>60000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/>
      <c r="L430" s="11">
        <v>0</v>
      </c>
      <c r="M430" s="27" t="e">
        <f>#REF!</f>
        <v>#REF!</v>
      </c>
      <c r="N430" s="27">
        <v>0</v>
      </c>
      <c r="O430" s="366">
        <f t="shared" si="59"/>
        <v>0</v>
      </c>
    </row>
    <row r="431" spans="1:15" ht="22.5" customHeight="1">
      <c r="A431" s="20"/>
      <c r="B431" s="31" t="s">
        <v>910</v>
      </c>
      <c r="C431" s="14" t="s">
        <v>266</v>
      </c>
      <c r="D431" s="11"/>
      <c r="E431" s="11"/>
      <c r="F431" s="11"/>
      <c r="G431" s="11"/>
      <c r="H431" s="11"/>
      <c r="I431" s="11"/>
      <c r="J431" s="11"/>
      <c r="K431" s="11">
        <v>328115</v>
      </c>
      <c r="L431" s="11">
        <v>0</v>
      </c>
      <c r="M431" s="27">
        <v>0</v>
      </c>
      <c r="N431" s="27">
        <f>K431</f>
        <v>328115</v>
      </c>
      <c r="O431" s="366">
        <f>K431/$K$606</f>
        <v>0.01170176298026747</v>
      </c>
    </row>
    <row r="432" spans="1:15" ht="15.75" customHeight="1">
      <c r="A432" s="20" t="s">
        <v>835</v>
      </c>
      <c r="B432" s="20"/>
      <c r="C432" s="7" t="s">
        <v>39</v>
      </c>
      <c r="D432" s="10">
        <f>D433+D434+D435+D437</f>
        <v>722000</v>
      </c>
      <c r="E432" s="10" t="e">
        <f>E433+E434+E435+E437+E438+E440+E441+E442+E443+E444+#REF!+E446+E447+E448+E449+E450</f>
        <v>#REF!</v>
      </c>
      <c r="F432" s="10" t="e">
        <f>F433+F434+F435+F437+F438+F440+F441+F442+F443+F444+#REF!+F446+F447+F448+F449+F450</f>
        <v>#REF!</v>
      </c>
      <c r="G432" s="10" t="e">
        <f>G433+G434+G435+G437+G438+G440+G441+G442+G443+G444+#REF!+G446+G447+G448+G449+G450</f>
        <v>#REF!</v>
      </c>
      <c r="H432" s="10">
        <f>H433+H434+H435+H437+H439+H440+H441+H442+H443+H444+H446+H447+H448+H449+H450+H451+H445</f>
        <v>835519</v>
      </c>
      <c r="I432" s="10">
        <f>I433+I434+I435+I437+I439+I440+I441+I442+I443+I444+I446+I447+I448+I449+I450+I451+I445</f>
        <v>0</v>
      </c>
      <c r="J432" s="10">
        <f>J433+J434+J435+J437+J439+J440+J441+J442+J443+J444+J446+J447+J448+J449+J450+J451+J445</f>
        <v>0</v>
      </c>
      <c r="K432" s="10">
        <f>K433+K434+K435+K436+K437+K439+K440+K441+K442+K443+K444+K446+K447+K448+K449+K450+K451+K445</f>
        <v>784688</v>
      </c>
      <c r="L432" s="10">
        <f>L433+L434+L435+L436+L437+L439+L440+L441+L442+L443+L444+L446+L447+L448+L449+L450+L451+L445</f>
        <v>0</v>
      </c>
      <c r="M432" s="10">
        <f>M433+M434+M435+M436+M437+M439+M440+M441+M442+M443+M444+M446+M447+M448+M449+M450+M451+M445</f>
        <v>784688</v>
      </c>
      <c r="N432" s="10">
        <f>N433+N434+N435+N436+N437+N439+N440+N441+N442+N443+N444+N446+N447+N448+N449+N450+N451+N445</f>
        <v>0</v>
      </c>
      <c r="O432" s="366">
        <f t="shared" si="59"/>
        <v>0.02798480102848124</v>
      </c>
    </row>
    <row r="433" spans="1:15" ht="15" customHeight="1">
      <c r="A433" s="559"/>
      <c r="B433" s="31" t="s">
        <v>720</v>
      </c>
      <c r="C433" s="14" t="s">
        <v>721</v>
      </c>
      <c r="D433" s="11">
        <v>365300</v>
      </c>
      <c r="E433" s="11">
        <v>330000</v>
      </c>
      <c r="F433" s="11">
        <v>17400</v>
      </c>
      <c r="G433" s="11">
        <v>0</v>
      </c>
      <c r="H433" s="11">
        <v>350982</v>
      </c>
      <c r="I433" s="11">
        <v>0</v>
      </c>
      <c r="J433" s="11">
        <v>0</v>
      </c>
      <c r="K433" s="11">
        <v>425038</v>
      </c>
      <c r="L433" s="11">
        <v>0</v>
      </c>
      <c r="M433" s="27">
        <f>K433</f>
        <v>425038</v>
      </c>
      <c r="N433" s="27">
        <v>0</v>
      </c>
      <c r="O433" s="366">
        <f t="shared" si="59"/>
        <v>0.01515838633895715</v>
      </c>
    </row>
    <row r="434" spans="1:15" ht="17.25" customHeight="1">
      <c r="A434" s="559"/>
      <c r="B434" s="31" t="s">
        <v>724</v>
      </c>
      <c r="C434" s="14" t="s">
        <v>725</v>
      </c>
      <c r="D434" s="11">
        <v>30580</v>
      </c>
      <c r="E434" s="11">
        <v>31050</v>
      </c>
      <c r="F434" s="11">
        <v>0</v>
      </c>
      <c r="G434" s="11">
        <v>0</v>
      </c>
      <c r="H434" s="11">
        <v>23796</v>
      </c>
      <c r="I434" s="11">
        <v>0</v>
      </c>
      <c r="J434" s="11">
        <v>0</v>
      </c>
      <c r="K434" s="11">
        <v>28354</v>
      </c>
      <c r="L434" s="11">
        <v>0</v>
      </c>
      <c r="M434" s="27">
        <f aca="true" t="shared" si="60" ref="M434:M451">K434</f>
        <v>28354</v>
      </c>
      <c r="N434" s="27">
        <v>0</v>
      </c>
      <c r="O434" s="366">
        <f t="shared" si="59"/>
        <v>0.0010112057892583512</v>
      </c>
    </row>
    <row r="435" spans="1:15" ht="18" customHeight="1">
      <c r="A435" s="559"/>
      <c r="B435" s="28" t="s">
        <v>777</v>
      </c>
      <c r="C435" s="14" t="s">
        <v>793</v>
      </c>
      <c r="D435" s="11">
        <v>77860</v>
      </c>
      <c r="E435" s="11">
        <v>64495</v>
      </c>
      <c r="F435" s="11">
        <v>0</v>
      </c>
      <c r="G435" s="11">
        <v>0</v>
      </c>
      <c r="H435" s="11">
        <v>73896</v>
      </c>
      <c r="I435" s="11">
        <v>0</v>
      </c>
      <c r="J435" s="11">
        <v>0</v>
      </c>
      <c r="K435" s="11">
        <v>71027</v>
      </c>
      <c r="L435" s="11">
        <v>0</v>
      </c>
      <c r="M435" s="27">
        <f t="shared" si="60"/>
        <v>71027</v>
      </c>
      <c r="N435" s="27">
        <v>0</v>
      </c>
      <c r="O435" s="366">
        <f t="shared" si="59"/>
        <v>0.0025330787047207768</v>
      </c>
    </row>
    <row r="436" spans="1:15" ht="18" customHeight="1">
      <c r="A436" s="559"/>
      <c r="B436" s="28" t="s">
        <v>711</v>
      </c>
      <c r="C436" s="14" t="s">
        <v>280</v>
      </c>
      <c r="D436" s="11"/>
      <c r="E436" s="11"/>
      <c r="F436" s="11"/>
      <c r="G436" s="11"/>
      <c r="H436" s="11"/>
      <c r="I436" s="11"/>
      <c r="J436" s="11"/>
      <c r="K436" s="11">
        <v>0</v>
      </c>
      <c r="L436" s="11">
        <v>0</v>
      </c>
      <c r="M436" s="27">
        <f>K436</f>
        <v>0</v>
      </c>
      <c r="N436" s="27">
        <v>0</v>
      </c>
      <c r="O436" s="366">
        <f>K436/$K$606</f>
        <v>0</v>
      </c>
    </row>
    <row r="437" spans="1:15" ht="15.75" customHeight="1">
      <c r="A437" s="559"/>
      <c r="B437" s="31" t="s">
        <v>728</v>
      </c>
      <c r="C437" s="11" t="s">
        <v>729</v>
      </c>
      <c r="D437" s="11">
        <v>248260</v>
      </c>
      <c r="E437" s="11">
        <v>8850</v>
      </c>
      <c r="F437" s="11">
        <v>0</v>
      </c>
      <c r="G437" s="11">
        <v>0</v>
      </c>
      <c r="H437" s="11">
        <v>9182</v>
      </c>
      <c r="I437" s="11">
        <v>0</v>
      </c>
      <c r="J437" s="11">
        <v>0</v>
      </c>
      <c r="K437" s="11">
        <v>9815</v>
      </c>
      <c r="L437" s="11">
        <v>0</v>
      </c>
      <c r="M437" s="27">
        <f t="shared" si="60"/>
        <v>9815</v>
      </c>
      <c r="N437" s="27">
        <v>0</v>
      </c>
      <c r="O437" s="366">
        <f aca="true" t="shared" si="61" ref="O437:O453">K437/$K$606</f>
        <v>0.0003500382599129123</v>
      </c>
    </row>
    <row r="438" spans="1:15" ht="12.75" customHeight="1" hidden="1">
      <c r="A438" s="26"/>
      <c r="B438" s="31"/>
      <c r="C438" s="11" t="s">
        <v>768</v>
      </c>
      <c r="D438" s="11"/>
      <c r="E438" s="11">
        <v>8200</v>
      </c>
      <c r="F438" s="11">
        <v>0</v>
      </c>
      <c r="G438" s="11">
        <v>0</v>
      </c>
      <c r="H438" s="11"/>
      <c r="I438" s="11">
        <v>0</v>
      </c>
      <c r="J438" s="11">
        <v>0</v>
      </c>
      <c r="K438" s="11"/>
      <c r="L438" s="11">
        <v>0</v>
      </c>
      <c r="M438" s="27">
        <f t="shared" si="60"/>
        <v>0</v>
      </c>
      <c r="N438" s="27">
        <v>0</v>
      </c>
      <c r="O438" s="366">
        <f t="shared" si="61"/>
        <v>0</v>
      </c>
    </row>
    <row r="439" spans="1:15" ht="20.25" customHeight="1" hidden="1">
      <c r="A439" s="26"/>
      <c r="B439" s="31" t="s">
        <v>711</v>
      </c>
      <c r="C439" s="11" t="s">
        <v>40</v>
      </c>
      <c r="D439" s="11"/>
      <c r="E439" s="11"/>
      <c r="F439" s="11"/>
      <c r="G439" s="11"/>
      <c r="H439" s="11">
        <v>0</v>
      </c>
      <c r="I439" s="11">
        <v>0</v>
      </c>
      <c r="J439" s="11">
        <v>0</v>
      </c>
      <c r="K439" s="11"/>
      <c r="L439" s="11">
        <v>0</v>
      </c>
      <c r="M439" s="27">
        <f t="shared" si="60"/>
        <v>0</v>
      </c>
      <c r="N439" s="27">
        <v>0</v>
      </c>
      <c r="O439" s="366">
        <f t="shared" si="61"/>
        <v>0</v>
      </c>
    </row>
    <row r="440" spans="1:15" ht="15.75" customHeight="1">
      <c r="A440" s="26"/>
      <c r="B440" s="31" t="s">
        <v>738</v>
      </c>
      <c r="C440" s="11" t="s">
        <v>739</v>
      </c>
      <c r="D440" s="11"/>
      <c r="E440" s="11">
        <v>1000</v>
      </c>
      <c r="F440" s="11">
        <v>0</v>
      </c>
      <c r="G440" s="11">
        <v>0</v>
      </c>
      <c r="H440" s="23">
        <v>1050</v>
      </c>
      <c r="I440" s="11">
        <v>0</v>
      </c>
      <c r="J440" s="11">
        <v>0</v>
      </c>
      <c r="K440" s="11">
        <v>800</v>
      </c>
      <c r="L440" s="11">
        <v>0</v>
      </c>
      <c r="M440" s="27">
        <f t="shared" si="60"/>
        <v>800</v>
      </c>
      <c r="N440" s="27">
        <v>0</v>
      </c>
      <c r="O440" s="366">
        <f t="shared" si="61"/>
        <v>2.8530882112106964E-05</v>
      </c>
    </row>
    <row r="441" spans="1:15" ht="15.75" customHeight="1">
      <c r="A441" s="26"/>
      <c r="B441" s="31" t="s">
        <v>730</v>
      </c>
      <c r="C441" s="11" t="s">
        <v>872</v>
      </c>
      <c r="D441" s="11"/>
      <c r="E441" s="11">
        <v>6795</v>
      </c>
      <c r="F441" s="11">
        <v>474</v>
      </c>
      <c r="G441" s="11">
        <v>0</v>
      </c>
      <c r="H441" s="23">
        <v>21937</v>
      </c>
      <c r="I441" s="11">
        <v>0</v>
      </c>
      <c r="J441" s="11">
        <v>0</v>
      </c>
      <c r="K441" s="11">
        <v>16802</v>
      </c>
      <c r="L441" s="11">
        <v>0</v>
      </c>
      <c r="M441" s="27">
        <f t="shared" si="60"/>
        <v>16802</v>
      </c>
      <c r="N441" s="27">
        <v>0</v>
      </c>
      <c r="O441" s="366">
        <f t="shared" si="61"/>
        <v>0.0005992198515595266</v>
      </c>
    </row>
    <row r="442" spans="1:15" ht="16.5" customHeight="1">
      <c r="A442" s="26"/>
      <c r="B442" s="31" t="s">
        <v>820</v>
      </c>
      <c r="C442" s="11" t="s">
        <v>35</v>
      </c>
      <c r="D442" s="11"/>
      <c r="E442" s="11">
        <v>40000</v>
      </c>
      <c r="F442" s="11">
        <v>10000</v>
      </c>
      <c r="G442" s="11">
        <v>0</v>
      </c>
      <c r="H442" s="23">
        <v>76000</v>
      </c>
      <c r="I442" s="11">
        <v>0</v>
      </c>
      <c r="J442" s="11">
        <v>0</v>
      </c>
      <c r="K442" s="11">
        <v>82140</v>
      </c>
      <c r="L442" s="11">
        <v>0</v>
      </c>
      <c r="M442" s="27">
        <f t="shared" si="60"/>
        <v>82140</v>
      </c>
      <c r="N442" s="27">
        <v>0</v>
      </c>
      <c r="O442" s="366">
        <f t="shared" si="61"/>
        <v>0.0029294083208605826</v>
      </c>
    </row>
    <row r="443" spans="1:15" ht="16.5" customHeight="1">
      <c r="A443" s="26"/>
      <c r="B443" s="31" t="s">
        <v>41</v>
      </c>
      <c r="C443" s="11" t="s">
        <v>42</v>
      </c>
      <c r="D443" s="11"/>
      <c r="E443" s="11">
        <v>4000</v>
      </c>
      <c r="F443" s="11">
        <v>0</v>
      </c>
      <c r="G443" s="11">
        <v>0</v>
      </c>
      <c r="H443" s="23">
        <v>5800</v>
      </c>
      <c r="I443" s="11">
        <v>0</v>
      </c>
      <c r="J443" s="11">
        <v>0</v>
      </c>
      <c r="K443" s="11">
        <v>6805</v>
      </c>
      <c r="L443" s="11">
        <v>0</v>
      </c>
      <c r="M443" s="27">
        <f t="shared" si="60"/>
        <v>6805</v>
      </c>
      <c r="N443" s="27">
        <v>0</v>
      </c>
      <c r="O443" s="366">
        <f t="shared" si="61"/>
        <v>0.0002426908159661099</v>
      </c>
    </row>
    <row r="444" spans="1:15" ht="14.25" customHeight="1">
      <c r="A444" s="26"/>
      <c r="B444" s="31" t="s">
        <v>732</v>
      </c>
      <c r="C444" s="11" t="s">
        <v>824</v>
      </c>
      <c r="D444" s="11"/>
      <c r="E444" s="11">
        <v>62480</v>
      </c>
      <c r="F444" s="11">
        <v>4000</v>
      </c>
      <c r="G444" s="11">
        <v>0</v>
      </c>
      <c r="H444" s="23">
        <v>89314</v>
      </c>
      <c r="I444" s="11">
        <v>0</v>
      </c>
      <c r="J444" s="11">
        <v>0</v>
      </c>
      <c r="K444" s="11">
        <v>93780</v>
      </c>
      <c r="L444" s="11">
        <v>0</v>
      </c>
      <c r="M444" s="27">
        <f t="shared" si="60"/>
        <v>93780</v>
      </c>
      <c r="N444" s="27">
        <v>0</v>
      </c>
      <c r="O444" s="366">
        <f t="shared" si="61"/>
        <v>0.003344532655591739</v>
      </c>
    </row>
    <row r="445" spans="1:15" ht="14.25" customHeight="1">
      <c r="A445" s="26"/>
      <c r="B445" s="31" t="s">
        <v>461</v>
      </c>
      <c r="C445" s="11" t="s">
        <v>462</v>
      </c>
      <c r="D445" s="11"/>
      <c r="E445" s="11"/>
      <c r="F445" s="11"/>
      <c r="G445" s="11"/>
      <c r="H445" s="23">
        <v>7119</v>
      </c>
      <c r="I445" s="11">
        <v>0</v>
      </c>
      <c r="J445" s="11">
        <v>0</v>
      </c>
      <c r="K445" s="11">
        <v>300</v>
      </c>
      <c r="L445" s="11">
        <v>0</v>
      </c>
      <c r="M445" s="27">
        <f t="shared" si="60"/>
        <v>300</v>
      </c>
      <c r="N445" s="27">
        <v>0</v>
      </c>
      <c r="O445" s="366">
        <f t="shared" si="61"/>
        <v>1.0699080792040112E-05</v>
      </c>
    </row>
    <row r="446" spans="1:15" ht="15.75" customHeight="1">
      <c r="A446" s="26"/>
      <c r="B446" s="31" t="s">
        <v>736</v>
      </c>
      <c r="C446" s="11" t="s">
        <v>826</v>
      </c>
      <c r="D446" s="11"/>
      <c r="E446" s="11">
        <v>5000</v>
      </c>
      <c r="F446" s="11">
        <v>0</v>
      </c>
      <c r="G446" s="11">
        <v>0</v>
      </c>
      <c r="H446" s="23">
        <v>32500</v>
      </c>
      <c r="I446" s="11">
        <v>0</v>
      </c>
      <c r="J446" s="11">
        <v>0</v>
      </c>
      <c r="K446" s="11">
        <v>32150</v>
      </c>
      <c r="L446" s="11">
        <v>0</v>
      </c>
      <c r="M446" s="27">
        <f t="shared" si="60"/>
        <v>32150</v>
      </c>
      <c r="N446" s="27">
        <v>0</v>
      </c>
      <c r="O446" s="366">
        <f t="shared" si="61"/>
        <v>0.0011465848248802986</v>
      </c>
    </row>
    <row r="447" spans="1:15" ht="15.75" customHeight="1">
      <c r="A447" s="26"/>
      <c r="B447" s="31" t="s">
        <v>740</v>
      </c>
      <c r="C447" s="11" t="s">
        <v>741</v>
      </c>
      <c r="D447" s="11"/>
      <c r="E447" s="11">
        <v>2000</v>
      </c>
      <c r="F447" s="11">
        <v>0</v>
      </c>
      <c r="G447" s="11">
        <v>400</v>
      </c>
      <c r="H447" s="11">
        <v>1594</v>
      </c>
      <c r="I447" s="11">
        <v>0</v>
      </c>
      <c r="J447" s="11">
        <v>0</v>
      </c>
      <c r="K447" s="11">
        <v>0</v>
      </c>
      <c r="L447" s="11">
        <v>0</v>
      </c>
      <c r="M447" s="27">
        <f t="shared" si="60"/>
        <v>0</v>
      </c>
      <c r="N447" s="27">
        <v>0</v>
      </c>
      <c r="O447" s="366">
        <f t="shared" si="61"/>
        <v>0</v>
      </c>
    </row>
    <row r="448" spans="1:15" ht="15.75" customHeight="1">
      <c r="A448" s="26"/>
      <c r="B448" s="31" t="s">
        <v>742</v>
      </c>
      <c r="C448" s="11" t="s">
        <v>743</v>
      </c>
      <c r="D448" s="11"/>
      <c r="E448" s="11">
        <v>13110</v>
      </c>
      <c r="F448" s="11">
        <v>0</v>
      </c>
      <c r="G448" s="11">
        <v>0</v>
      </c>
      <c r="H448" s="11">
        <v>14000</v>
      </c>
      <c r="I448" s="11">
        <v>0</v>
      </c>
      <c r="J448" s="11">
        <v>0</v>
      </c>
      <c r="K448" s="11">
        <v>14637</v>
      </c>
      <c r="L448" s="11">
        <v>0</v>
      </c>
      <c r="M448" s="27">
        <f t="shared" si="60"/>
        <v>14637</v>
      </c>
      <c r="N448" s="27">
        <v>0</v>
      </c>
      <c r="O448" s="366">
        <f t="shared" si="61"/>
        <v>0.0005220081518436371</v>
      </c>
    </row>
    <row r="449" spans="1:15" ht="16.5" customHeight="1">
      <c r="A449" s="26"/>
      <c r="B449" s="31" t="s">
        <v>758</v>
      </c>
      <c r="C449" s="11" t="s">
        <v>759</v>
      </c>
      <c r="D449" s="11"/>
      <c r="E449" s="11">
        <v>1000</v>
      </c>
      <c r="F449" s="11">
        <v>0</v>
      </c>
      <c r="G449" s="11">
        <v>60</v>
      </c>
      <c r="H449" s="11">
        <v>1896</v>
      </c>
      <c r="I449" s="11">
        <v>0</v>
      </c>
      <c r="J449" s="11">
        <v>0</v>
      </c>
      <c r="K449" s="11">
        <v>2613</v>
      </c>
      <c r="L449" s="11">
        <v>0</v>
      </c>
      <c r="M449" s="27">
        <f t="shared" si="60"/>
        <v>2613</v>
      </c>
      <c r="N449" s="27">
        <v>0</v>
      </c>
      <c r="O449" s="366">
        <f t="shared" si="61"/>
        <v>9.318899369866937E-05</v>
      </c>
    </row>
    <row r="450" spans="1:15" ht="16.5" customHeight="1">
      <c r="A450" s="26"/>
      <c r="B450" s="31" t="s">
        <v>830</v>
      </c>
      <c r="C450" s="11" t="s">
        <v>831</v>
      </c>
      <c r="D450" s="11"/>
      <c r="E450" s="11">
        <v>500</v>
      </c>
      <c r="F450" s="11">
        <v>0</v>
      </c>
      <c r="G450" s="11">
        <v>70</v>
      </c>
      <c r="H450" s="11">
        <v>427</v>
      </c>
      <c r="I450" s="11">
        <v>0</v>
      </c>
      <c r="J450" s="11">
        <v>0</v>
      </c>
      <c r="K450" s="11">
        <v>427</v>
      </c>
      <c r="L450" s="11">
        <v>0</v>
      </c>
      <c r="M450" s="27">
        <f t="shared" si="60"/>
        <v>427</v>
      </c>
      <c r="N450" s="27">
        <v>0</v>
      </c>
      <c r="O450" s="366">
        <f t="shared" si="61"/>
        <v>1.5228358327337094E-05</v>
      </c>
    </row>
    <row r="451" spans="1:15" ht="15.75" customHeight="1">
      <c r="A451" s="26"/>
      <c r="B451" s="31" t="s">
        <v>760</v>
      </c>
      <c r="C451" s="11" t="s">
        <v>583</v>
      </c>
      <c r="D451" s="11"/>
      <c r="E451" s="11"/>
      <c r="F451" s="11"/>
      <c r="G451" s="11"/>
      <c r="H451" s="11">
        <v>126026</v>
      </c>
      <c r="I451" s="11">
        <v>0</v>
      </c>
      <c r="J451" s="11">
        <v>0</v>
      </c>
      <c r="K451" s="11">
        <v>0</v>
      </c>
      <c r="L451" s="11">
        <v>0</v>
      </c>
      <c r="M451" s="27">
        <f t="shared" si="60"/>
        <v>0</v>
      </c>
      <c r="N451" s="27">
        <v>0</v>
      </c>
      <c r="O451" s="366">
        <f t="shared" si="61"/>
        <v>0</v>
      </c>
    </row>
    <row r="452" spans="1:15" ht="15" customHeight="1">
      <c r="A452" s="26"/>
      <c r="B452" s="31" t="s">
        <v>762</v>
      </c>
      <c r="C452" s="11" t="s">
        <v>584</v>
      </c>
      <c r="D452" s="11"/>
      <c r="E452" s="11"/>
      <c r="F452" s="11"/>
      <c r="G452" s="11"/>
      <c r="H452" s="11"/>
      <c r="I452" s="11"/>
      <c r="J452" s="11"/>
      <c r="K452" s="11">
        <v>0</v>
      </c>
      <c r="L452" s="11">
        <v>0</v>
      </c>
      <c r="M452" s="27">
        <f>K452</f>
        <v>0</v>
      </c>
      <c r="N452" s="27">
        <v>0</v>
      </c>
      <c r="O452" s="366">
        <f t="shared" si="61"/>
        <v>0</v>
      </c>
    </row>
    <row r="453" spans="1:15" ht="15.75" customHeight="1">
      <c r="A453" s="29" t="s">
        <v>841</v>
      </c>
      <c r="B453" s="31"/>
      <c r="C453" s="7" t="s">
        <v>43</v>
      </c>
      <c r="D453" s="10">
        <f>D456</f>
        <v>1308000</v>
      </c>
      <c r="E453" s="10">
        <f>E456</f>
        <v>1138000</v>
      </c>
      <c r="F453" s="10">
        <f>F456</f>
        <v>0</v>
      </c>
      <c r="G453" s="10">
        <f>G456</f>
        <v>0</v>
      </c>
      <c r="H453" s="10">
        <f>H456+H457</f>
        <v>744716</v>
      </c>
      <c r="I453" s="10">
        <f>I456+I457</f>
        <v>0</v>
      </c>
      <c r="J453" s="10">
        <f>J456+J457</f>
        <v>0</v>
      </c>
      <c r="K453" s="10">
        <f>K454+K455+K456+K457</f>
        <v>814324</v>
      </c>
      <c r="L453" s="10">
        <f>L454+L455+L456+L457</f>
        <v>0</v>
      </c>
      <c r="M453" s="10">
        <f>M454+M455+M456+M457</f>
        <v>800000</v>
      </c>
      <c r="N453" s="10">
        <f>N454+N455+N456+N457</f>
        <v>14324</v>
      </c>
      <c r="O453" s="366">
        <f t="shared" si="61"/>
        <v>0.02904172755632424</v>
      </c>
    </row>
    <row r="454" spans="1:15" ht="15.75" customHeight="1">
      <c r="A454" s="29"/>
      <c r="B454" s="31" t="s">
        <v>783</v>
      </c>
      <c r="C454" s="32" t="s">
        <v>281</v>
      </c>
      <c r="D454" s="10"/>
      <c r="E454" s="10"/>
      <c r="F454" s="10"/>
      <c r="G454" s="10"/>
      <c r="H454" s="10"/>
      <c r="I454" s="10"/>
      <c r="J454" s="10"/>
      <c r="K454" s="23">
        <v>6543</v>
      </c>
      <c r="L454" s="23">
        <v>0</v>
      </c>
      <c r="M454" s="23">
        <v>0</v>
      </c>
      <c r="N454" s="23">
        <f>K454</f>
        <v>6543</v>
      </c>
      <c r="O454" s="366">
        <f aca="true" t="shared" si="62" ref="O454:O459">K454/$K$606</f>
        <v>0.00023334695207439485</v>
      </c>
    </row>
    <row r="455" spans="1:15" ht="15.75" customHeight="1">
      <c r="A455" s="29"/>
      <c r="B455" s="31" t="s">
        <v>910</v>
      </c>
      <c r="C455" s="32" t="s">
        <v>282</v>
      </c>
      <c r="D455" s="10"/>
      <c r="E455" s="10"/>
      <c r="F455" s="10"/>
      <c r="G455" s="10"/>
      <c r="H455" s="10"/>
      <c r="I455" s="10"/>
      <c r="J455" s="10"/>
      <c r="K455" s="23">
        <v>7781</v>
      </c>
      <c r="L455" s="23">
        <v>0</v>
      </c>
      <c r="M455" s="23">
        <v>0</v>
      </c>
      <c r="N455" s="23">
        <f>K455</f>
        <v>7781</v>
      </c>
      <c r="O455" s="366">
        <f t="shared" si="62"/>
        <v>0.00027749849214288037</v>
      </c>
    </row>
    <row r="456" spans="1:15" ht="13.5" customHeight="1">
      <c r="A456" s="29"/>
      <c r="B456" s="31" t="s">
        <v>33</v>
      </c>
      <c r="C456" s="32" t="s">
        <v>34</v>
      </c>
      <c r="D456" s="23">
        <v>1308000</v>
      </c>
      <c r="E456" s="23">
        <v>1138000</v>
      </c>
      <c r="F456" s="23">
        <v>0</v>
      </c>
      <c r="G456" s="23">
        <v>0</v>
      </c>
      <c r="H456" s="11">
        <v>728506</v>
      </c>
      <c r="I456" s="11">
        <v>0</v>
      </c>
      <c r="J456" s="11">
        <v>0</v>
      </c>
      <c r="K456" s="11">
        <v>790656</v>
      </c>
      <c r="L456" s="23">
        <v>0</v>
      </c>
      <c r="M456" s="24">
        <f>K456</f>
        <v>790656</v>
      </c>
      <c r="N456" s="24">
        <v>0</v>
      </c>
      <c r="O456" s="366">
        <f t="shared" si="62"/>
        <v>0.028197641409037556</v>
      </c>
    </row>
    <row r="457" spans="1:15" ht="16.5" customHeight="1">
      <c r="A457" s="29"/>
      <c r="B457" s="31" t="s">
        <v>730</v>
      </c>
      <c r="C457" s="32" t="s">
        <v>757</v>
      </c>
      <c r="D457" s="23"/>
      <c r="E457" s="23"/>
      <c r="F457" s="23"/>
      <c r="G457" s="23"/>
      <c r="H457" s="11">
        <v>16210</v>
      </c>
      <c r="I457" s="11">
        <v>0</v>
      </c>
      <c r="J457" s="11">
        <v>0</v>
      </c>
      <c r="K457" s="11">
        <v>9344</v>
      </c>
      <c r="L457" s="23">
        <v>0</v>
      </c>
      <c r="M457" s="24">
        <f>K457</f>
        <v>9344</v>
      </c>
      <c r="N457" s="24">
        <v>0</v>
      </c>
      <c r="O457" s="366">
        <f t="shared" si="62"/>
        <v>0.00033324070306940933</v>
      </c>
    </row>
    <row r="458" spans="1:15" ht="24.75" customHeight="1">
      <c r="A458" s="29" t="s">
        <v>283</v>
      </c>
      <c r="B458" s="31"/>
      <c r="C458" s="7" t="s">
        <v>284</v>
      </c>
      <c r="D458" s="23"/>
      <c r="E458" s="23"/>
      <c r="F458" s="23"/>
      <c r="G458" s="23"/>
      <c r="H458" s="11"/>
      <c r="I458" s="11"/>
      <c r="J458" s="11"/>
      <c r="K458" s="11">
        <f>K459</f>
        <v>10000</v>
      </c>
      <c r="L458" s="23">
        <f>L459</f>
        <v>10000</v>
      </c>
      <c r="M458" s="24">
        <f>M459</f>
        <v>0</v>
      </c>
      <c r="N458" s="24">
        <f>N459</f>
        <v>0</v>
      </c>
      <c r="O458" s="366">
        <f t="shared" si="62"/>
        <v>0.0003566360264013371</v>
      </c>
    </row>
    <row r="459" spans="1:15" ht="16.5" customHeight="1">
      <c r="A459" s="29"/>
      <c r="B459" s="31" t="s">
        <v>285</v>
      </c>
      <c r="C459" s="32"/>
      <c r="D459" s="23"/>
      <c r="E459" s="23"/>
      <c r="F459" s="23"/>
      <c r="G459" s="23"/>
      <c r="H459" s="11"/>
      <c r="I459" s="11"/>
      <c r="J459" s="11"/>
      <c r="K459" s="11">
        <v>10000</v>
      </c>
      <c r="L459" s="23">
        <f>K459</f>
        <v>10000</v>
      </c>
      <c r="M459" s="24">
        <v>0</v>
      </c>
      <c r="N459" s="24">
        <v>0</v>
      </c>
      <c r="O459" s="366">
        <f t="shared" si="62"/>
        <v>0.0003566360264013371</v>
      </c>
    </row>
    <row r="460" spans="1:15" ht="17.25" customHeight="1">
      <c r="A460" s="29" t="s">
        <v>836</v>
      </c>
      <c r="B460" s="31"/>
      <c r="C460" s="7" t="s">
        <v>45</v>
      </c>
      <c r="D460" s="10">
        <f>D461+D462+D463+D465</f>
        <v>134584</v>
      </c>
      <c r="E460" s="10">
        <f>E461+E462+E463+E464+E465+E467+E468+E469+E471+E473</f>
        <v>185500</v>
      </c>
      <c r="F460" s="10">
        <f>F461+F462+F463+F464+F465+F467+F468+F469+F471+F473</f>
        <v>5714</v>
      </c>
      <c r="G460" s="10">
        <f>G461+G462+G463+G464+G465+G467+G468+G469+G471+G473</f>
        <v>2671</v>
      </c>
      <c r="H460" s="10">
        <f>H461+H462+H463+H464+H467+H468+H469+H471+H473</f>
        <v>132083</v>
      </c>
      <c r="I460" s="10">
        <f>I461+I462+I463+I464+I467+I468+I469+I471+I473</f>
        <v>0</v>
      </c>
      <c r="J460" s="10">
        <f>J461+J462+J463+J464+J467+J468+J469+J471+J473</f>
        <v>0</v>
      </c>
      <c r="K460" s="10">
        <f>K461+K462+K463+K464+K466+K467+K468+K469+K470+K471+K472+K473</f>
        <v>170000</v>
      </c>
      <c r="L460" s="10">
        <f>L461+L462+L463+L464+L466+L467+L468+L469+L470+L471+L472+L473</f>
        <v>0</v>
      </c>
      <c r="M460" s="22">
        <f>M461+M462+M463+M464+M465+M466+M467+M468+M469+M470+M471+M472+M473</f>
        <v>170000</v>
      </c>
      <c r="N460" s="22">
        <f>N461+N462+N463+N464+N465+N466+N470+N471+N472+N473</f>
        <v>0</v>
      </c>
      <c r="O460" s="366">
        <f aca="true" t="shared" si="63" ref="O460:O486">K460/$K$606</f>
        <v>0.006062812448822731</v>
      </c>
    </row>
    <row r="461" spans="1:15" ht="17.25" customHeight="1">
      <c r="A461" s="559"/>
      <c r="B461" s="31" t="s">
        <v>720</v>
      </c>
      <c r="C461" s="14" t="s">
        <v>721</v>
      </c>
      <c r="D461" s="11">
        <v>85744</v>
      </c>
      <c r="E461" s="11">
        <v>121480</v>
      </c>
      <c r="F461" s="11">
        <v>0</v>
      </c>
      <c r="G461" s="11">
        <v>2671</v>
      </c>
      <c r="H461" s="11">
        <v>72999</v>
      </c>
      <c r="I461" s="11">
        <v>0</v>
      </c>
      <c r="J461" s="11">
        <v>0</v>
      </c>
      <c r="K461" s="11">
        <v>104887</v>
      </c>
      <c r="L461" s="11">
        <v>0</v>
      </c>
      <c r="M461" s="27">
        <f>K461-L461</f>
        <v>104887</v>
      </c>
      <c r="N461" s="27">
        <v>0</v>
      </c>
      <c r="O461" s="366">
        <f t="shared" si="63"/>
        <v>0.003740648290115704</v>
      </c>
    </row>
    <row r="462" spans="1:15" ht="15" customHeight="1">
      <c r="A462" s="559"/>
      <c r="B462" s="31" t="s">
        <v>724</v>
      </c>
      <c r="C462" s="14" t="s">
        <v>725</v>
      </c>
      <c r="D462" s="11">
        <v>4800</v>
      </c>
      <c r="E462" s="11">
        <v>6578</v>
      </c>
      <c r="F462" s="11">
        <v>0</v>
      </c>
      <c r="G462" s="11">
        <v>0</v>
      </c>
      <c r="H462" s="23">
        <v>5710</v>
      </c>
      <c r="I462" s="11">
        <v>0</v>
      </c>
      <c r="J462" s="11">
        <v>0</v>
      </c>
      <c r="K462" s="11">
        <v>7940</v>
      </c>
      <c r="L462" s="11">
        <v>0</v>
      </c>
      <c r="M462" s="27">
        <f aca="true" t="shared" si="64" ref="M462:M473">K462-L462</f>
        <v>7940</v>
      </c>
      <c r="N462" s="27">
        <v>0</v>
      </c>
      <c r="O462" s="366">
        <f t="shared" si="63"/>
        <v>0.00028316900496266163</v>
      </c>
    </row>
    <row r="463" spans="1:15" ht="16.5" customHeight="1">
      <c r="A463" s="559"/>
      <c r="B463" s="38" t="s">
        <v>777</v>
      </c>
      <c r="C463" s="14" t="s">
        <v>754</v>
      </c>
      <c r="D463" s="11">
        <v>18394</v>
      </c>
      <c r="E463" s="11">
        <v>22179</v>
      </c>
      <c r="F463" s="11">
        <v>0</v>
      </c>
      <c r="G463" s="11">
        <v>0</v>
      </c>
      <c r="H463" s="23">
        <v>14515</v>
      </c>
      <c r="I463" s="11">
        <v>0</v>
      </c>
      <c r="J463" s="11">
        <v>0</v>
      </c>
      <c r="K463" s="11">
        <v>20523</v>
      </c>
      <c r="L463" s="11">
        <v>0</v>
      </c>
      <c r="M463" s="27">
        <f t="shared" si="64"/>
        <v>20523</v>
      </c>
      <c r="N463" s="27">
        <v>0</v>
      </c>
      <c r="O463" s="366">
        <f t="shared" si="63"/>
        <v>0.000731924116983464</v>
      </c>
    </row>
    <row r="464" spans="1:15" ht="16.5" customHeight="1">
      <c r="A464" s="559"/>
      <c r="B464" s="38" t="s">
        <v>728</v>
      </c>
      <c r="C464" s="14" t="s">
        <v>729</v>
      </c>
      <c r="D464" s="11"/>
      <c r="E464" s="11">
        <v>3039</v>
      </c>
      <c r="F464" s="11">
        <v>0</v>
      </c>
      <c r="G464" s="11">
        <v>0</v>
      </c>
      <c r="H464" s="23">
        <v>1927</v>
      </c>
      <c r="I464" s="11">
        <v>0</v>
      </c>
      <c r="J464" s="11">
        <v>0</v>
      </c>
      <c r="K464" s="11">
        <v>2765</v>
      </c>
      <c r="L464" s="11">
        <v>0</v>
      </c>
      <c r="M464" s="27">
        <f t="shared" si="64"/>
        <v>2765</v>
      </c>
      <c r="N464" s="27">
        <v>0</v>
      </c>
      <c r="O464" s="366">
        <f t="shared" si="63"/>
        <v>9.86098612999697E-05</v>
      </c>
    </row>
    <row r="465" spans="1:15" ht="16.5" customHeight="1" hidden="1">
      <c r="A465" s="559"/>
      <c r="B465" s="31"/>
      <c r="C465" s="11" t="s">
        <v>768</v>
      </c>
      <c r="D465" s="11">
        <v>25646</v>
      </c>
      <c r="E465" s="11">
        <v>840</v>
      </c>
      <c r="F465" s="11">
        <v>0</v>
      </c>
      <c r="G465" s="11">
        <v>0</v>
      </c>
      <c r="H465" s="23"/>
      <c r="I465" s="11">
        <v>0</v>
      </c>
      <c r="J465" s="11">
        <v>0</v>
      </c>
      <c r="K465" s="11"/>
      <c r="L465" s="11"/>
      <c r="M465" s="27">
        <f t="shared" si="64"/>
        <v>0</v>
      </c>
      <c r="N465" s="27">
        <v>0</v>
      </c>
      <c r="O465" s="366">
        <f t="shared" si="63"/>
        <v>0</v>
      </c>
    </row>
    <row r="466" spans="1:15" ht="16.5" customHeight="1">
      <c r="A466" s="26"/>
      <c r="B466" s="31" t="s">
        <v>459</v>
      </c>
      <c r="C466" s="11" t="s">
        <v>460</v>
      </c>
      <c r="D466" s="11"/>
      <c r="E466" s="11"/>
      <c r="F466" s="11"/>
      <c r="G466" s="11"/>
      <c r="H466" s="23"/>
      <c r="I466" s="11"/>
      <c r="J466" s="11"/>
      <c r="K466" s="11">
        <v>300</v>
      </c>
      <c r="L466" s="11">
        <v>0</v>
      </c>
      <c r="M466" s="27">
        <f>K466</f>
        <v>300</v>
      </c>
      <c r="N466" s="27">
        <v>0</v>
      </c>
      <c r="O466" s="366">
        <f t="shared" si="63"/>
        <v>1.0699080792040112E-05</v>
      </c>
    </row>
    <row r="467" spans="1:15" ht="15.75" customHeight="1">
      <c r="A467" s="26"/>
      <c r="B467" s="31" t="s">
        <v>730</v>
      </c>
      <c r="C467" s="11" t="s">
        <v>872</v>
      </c>
      <c r="D467" s="11"/>
      <c r="E467" s="11">
        <v>5070</v>
      </c>
      <c r="F467" s="11">
        <v>500</v>
      </c>
      <c r="G467" s="11">
        <v>0</v>
      </c>
      <c r="H467" s="23">
        <v>7461</v>
      </c>
      <c r="I467" s="11">
        <v>0</v>
      </c>
      <c r="J467" s="11">
        <v>0</v>
      </c>
      <c r="K467" s="11">
        <v>5900</v>
      </c>
      <c r="L467" s="11">
        <v>0</v>
      </c>
      <c r="M467" s="27">
        <f t="shared" si="64"/>
        <v>5900</v>
      </c>
      <c r="N467" s="27">
        <v>0</v>
      </c>
      <c r="O467" s="366">
        <f t="shared" si="63"/>
        <v>0.00021041525557678888</v>
      </c>
    </row>
    <row r="468" spans="1:15" ht="15.75" customHeight="1">
      <c r="A468" s="26"/>
      <c r="B468" s="31" t="s">
        <v>732</v>
      </c>
      <c r="C468" s="11" t="s">
        <v>824</v>
      </c>
      <c r="D468" s="11"/>
      <c r="E468" s="11">
        <v>3015</v>
      </c>
      <c r="F468" s="11">
        <v>500</v>
      </c>
      <c r="G468" s="11">
        <v>0</v>
      </c>
      <c r="H468" s="23">
        <v>6000</v>
      </c>
      <c r="I468" s="11">
        <v>0</v>
      </c>
      <c r="J468" s="11">
        <v>0</v>
      </c>
      <c r="K468" s="11">
        <v>8000</v>
      </c>
      <c r="L468" s="11">
        <v>0</v>
      </c>
      <c r="M468" s="27">
        <f t="shared" si="64"/>
        <v>8000</v>
      </c>
      <c r="N468" s="27">
        <v>0</v>
      </c>
      <c r="O468" s="366">
        <f t="shared" si="63"/>
        <v>0.00028530882112106964</v>
      </c>
    </row>
    <row r="469" spans="1:15" ht="15.75" customHeight="1">
      <c r="A469" s="26"/>
      <c r="B469" s="31" t="s">
        <v>736</v>
      </c>
      <c r="C469" s="11" t="s">
        <v>826</v>
      </c>
      <c r="D469" s="11"/>
      <c r="E469" s="11">
        <v>19008</v>
      </c>
      <c r="F469" s="11">
        <v>2043</v>
      </c>
      <c r="G469" s="11">
        <v>0</v>
      </c>
      <c r="H469" s="11">
        <v>19291</v>
      </c>
      <c r="I469" s="11">
        <v>0</v>
      </c>
      <c r="J469" s="11">
        <v>0</v>
      </c>
      <c r="K469" s="11">
        <v>14176</v>
      </c>
      <c r="L469" s="11">
        <v>0</v>
      </c>
      <c r="M469" s="27">
        <f t="shared" si="64"/>
        <v>14176</v>
      </c>
      <c r="N469" s="27">
        <v>0</v>
      </c>
      <c r="O469" s="366">
        <f t="shared" si="63"/>
        <v>0.0005055672310265354</v>
      </c>
    </row>
    <row r="470" spans="1:15" ht="15.75" customHeight="1">
      <c r="A470" s="26"/>
      <c r="B470" s="31" t="s">
        <v>461</v>
      </c>
      <c r="C470" s="11" t="s">
        <v>462</v>
      </c>
      <c r="D470" s="11"/>
      <c r="E470" s="11"/>
      <c r="F470" s="11"/>
      <c r="G470" s="11"/>
      <c r="H470" s="11"/>
      <c r="I470" s="11"/>
      <c r="J470" s="11"/>
      <c r="K470" s="11">
        <v>1188</v>
      </c>
      <c r="L470" s="11">
        <v>0</v>
      </c>
      <c r="M470" s="27">
        <f>K470</f>
        <v>1188</v>
      </c>
      <c r="N470" s="27">
        <v>0</v>
      </c>
      <c r="O470" s="366">
        <f t="shared" si="63"/>
        <v>4.236835993647884E-05</v>
      </c>
    </row>
    <row r="471" spans="1:15" ht="15" customHeight="1">
      <c r="A471" s="26"/>
      <c r="B471" s="31" t="s">
        <v>738</v>
      </c>
      <c r="C471" s="11" t="s">
        <v>739</v>
      </c>
      <c r="D471" s="11"/>
      <c r="E471" s="11">
        <v>2618</v>
      </c>
      <c r="F471" s="11">
        <v>0</v>
      </c>
      <c r="G471" s="11">
        <v>0</v>
      </c>
      <c r="H471" s="11">
        <v>1000</v>
      </c>
      <c r="I471" s="11">
        <v>0</v>
      </c>
      <c r="J471" s="11">
        <v>0</v>
      </c>
      <c r="K471" s="11">
        <v>500</v>
      </c>
      <c r="L471" s="11">
        <v>0</v>
      </c>
      <c r="M471" s="27">
        <f t="shared" si="64"/>
        <v>500</v>
      </c>
      <c r="N471" s="27">
        <v>0</v>
      </c>
      <c r="O471" s="366">
        <f t="shared" si="63"/>
        <v>1.7831801320066853E-05</v>
      </c>
    </row>
    <row r="472" spans="1:15" ht="15" customHeight="1">
      <c r="A472" s="26"/>
      <c r="B472" s="31" t="s">
        <v>487</v>
      </c>
      <c r="C472" s="11" t="s">
        <v>267</v>
      </c>
      <c r="D472" s="11"/>
      <c r="E472" s="11"/>
      <c r="F472" s="11"/>
      <c r="G472" s="11"/>
      <c r="H472" s="11"/>
      <c r="I472" s="11"/>
      <c r="J472" s="11"/>
      <c r="K472" s="11">
        <v>108</v>
      </c>
      <c r="L472" s="11">
        <v>0</v>
      </c>
      <c r="M472" s="27">
        <f>K472</f>
        <v>108</v>
      </c>
      <c r="N472" s="27">
        <v>0</v>
      </c>
      <c r="O472" s="366">
        <f t="shared" si="63"/>
        <v>3.8516690851344405E-06</v>
      </c>
    </row>
    <row r="473" spans="1:15" ht="14.25" customHeight="1">
      <c r="A473" s="26"/>
      <c r="B473" s="31" t="s">
        <v>742</v>
      </c>
      <c r="C473" s="11" t="s">
        <v>743</v>
      </c>
      <c r="D473" s="11"/>
      <c r="E473" s="11">
        <v>1673</v>
      </c>
      <c r="F473" s="11">
        <v>2671</v>
      </c>
      <c r="G473" s="11">
        <v>0</v>
      </c>
      <c r="H473" s="11">
        <v>3180</v>
      </c>
      <c r="I473" s="11">
        <v>0</v>
      </c>
      <c r="J473" s="11">
        <v>0</v>
      </c>
      <c r="K473" s="11">
        <v>3713</v>
      </c>
      <c r="L473" s="11">
        <v>0</v>
      </c>
      <c r="M473" s="27">
        <f t="shared" si="64"/>
        <v>3713</v>
      </c>
      <c r="N473" s="27">
        <v>0</v>
      </c>
      <c r="O473" s="366">
        <f t="shared" si="63"/>
        <v>0.00013241895660281644</v>
      </c>
    </row>
    <row r="474" spans="1:15" ht="14.25" customHeight="1">
      <c r="A474" s="29" t="s">
        <v>842</v>
      </c>
      <c r="B474" s="29"/>
      <c r="C474" s="7" t="s">
        <v>49</v>
      </c>
      <c r="D474" s="10"/>
      <c r="E474" s="10" t="e">
        <f>E475+#REF!+#REF!+E477+E478+E483+E481</f>
        <v>#REF!</v>
      </c>
      <c r="F474" s="10" t="e">
        <f>F475+#REF!+#REF!+F477+F478+F483+F481</f>
        <v>#REF!</v>
      </c>
      <c r="G474" s="10" t="e">
        <f>G475+#REF!+#REF!+G477+G478+G483+G481</f>
        <v>#REF!</v>
      </c>
      <c r="H474" s="10">
        <f>H475+H476+H477+H478+H481+H482+H483+H479</f>
        <v>70901</v>
      </c>
      <c r="I474" s="10">
        <f>I475+I476+I477+I478+I481+I482+I483+I479</f>
        <v>0</v>
      </c>
      <c r="J474" s="10">
        <f>J475+J476+J477+J478+J481+J482+J483+J479</f>
        <v>0</v>
      </c>
      <c r="K474" s="10">
        <f>K475+K476+K477+K478+K481+K482+K483+K479+K480</f>
        <v>60299</v>
      </c>
      <c r="L474" s="10">
        <f>L475+L476+L477+L478+L481+L482+L483+L479+L480</f>
        <v>0</v>
      </c>
      <c r="M474" s="10">
        <f>M475+M476+M477+M478+M481+M482+M483+M479+M480</f>
        <v>60299</v>
      </c>
      <c r="N474" s="10">
        <f>N475+N476+N477+N478+N481+N482+N483+N479+N480</f>
        <v>0</v>
      </c>
      <c r="O474" s="366">
        <f t="shared" si="63"/>
        <v>0.0021504795755974224</v>
      </c>
    </row>
    <row r="475" spans="1:15" ht="15" customHeight="1">
      <c r="A475" s="26"/>
      <c r="B475" s="26" t="s">
        <v>720</v>
      </c>
      <c r="C475" s="32" t="s">
        <v>721</v>
      </c>
      <c r="D475" s="11"/>
      <c r="E475" s="11">
        <v>14600</v>
      </c>
      <c r="F475" s="11">
        <v>0</v>
      </c>
      <c r="G475" s="11">
        <v>5468</v>
      </c>
      <c r="H475" s="11">
        <v>48240</v>
      </c>
      <c r="I475" s="11">
        <v>0</v>
      </c>
      <c r="J475" s="11">
        <v>0</v>
      </c>
      <c r="K475" s="11">
        <v>37634</v>
      </c>
      <c r="L475" s="11">
        <v>0</v>
      </c>
      <c r="M475" s="27">
        <f>K475</f>
        <v>37634</v>
      </c>
      <c r="N475" s="27">
        <v>0</v>
      </c>
      <c r="O475" s="366">
        <f t="shared" si="63"/>
        <v>0.0013421640217587919</v>
      </c>
    </row>
    <row r="476" spans="1:15" ht="14.25" customHeight="1">
      <c r="A476" s="26"/>
      <c r="B476" s="26" t="s">
        <v>724</v>
      </c>
      <c r="C476" s="32" t="s">
        <v>725</v>
      </c>
      <c r="D476" s="11"/>
      <c r="E476" s="11"/>
      <c r="F476" s="11"/>
      <c r="G476" s="11"/>
      <c r="H476" s="11">
        <v>2344</v>
      </c>
      <c r="I476" s="11">
        <v>0</v>
      </c>
      <c r="J476" s="11">
        <v>0</v>
      </c>
      <c r="K476" s="11">
        <v>2994</v>
      </c>
      <c r="L476" s="11">
        <v>0</v>
      </c>
      <c r="M476" s="27">
        <f aca="true" t="shared" si="65" ref="M476:M483">K476</f>
        <v>2994</v>
      </c>
      <c r="N476" s="27">
        <v>0</v>
      </c>
      <c r="O476" s="366">
        <f t="shared" si="63"/>
        <v>0.00010677682630456032</v>
      </c>
    </row>
    <row r="477" spans="1:15" ht="14.25" customHeight="1">
      <c r="A477" s="26"/>
      <c r="B477" s="26" t="s">
        <v>753</v>
      </c>
      <c r="C477" s="32" t="s">
        <v>47</v>
      </c>
      <c r="D477" s="11"/>
      <c r="E477" s="11">
        <v>2610</v>
      </c>
      <c r="F477" s="11">
        <v>0</v>
      </c>
      <c r="G477" s="11">
        <v>977</v>
      </c>
      <c r="H477" s="11">
        <v>8606</v>
      </c>
      <c r="I477" s="11">
        <v>0</v>
      </c>
      <c r="J477" s="11">
        <v>0</v>
      </c>
      <c r="K477" s="11">
        <v>7391</v>
      </c>
      <c r="L477" s="11">
        <v>0</v>
      </c>
      <c r="M477" s="27">
        <f t="shared" si="65"/>
        <v>7391</v>
      </c>
      <c r="N477" s="27">
        <v>0</v>
      </c>
      <c r="O477" s="366">
        <f t="shared" si="63"/>
        <v>0.00026358968711322824</v>
      </c>
    </row>
    <row r="478" spans="1:15" ht="14.25" customHeight="1">
      <c r="A478" s="26"/>
      <c r="B478" s="26" t="s">
        <v>728</v>
      </c>
      <c r="C478" s="32" t="s">
        <v>50</v>
      </c>
      <c r="D478" s="11"/>
      <c r="E478" s="11">
        <v>358</v>
      </c>
      <c r="F478" s="11">
        <v>0</v>
      </c>
      <c r="G478" s="11">
        <v>134</v>
      </c>
      <c r="H478" s="11">
        <v>1470</v>
      </c>
      <c r="I478" s="11">
        <v>0</v>
      </c>
      <c r="J478" s="11">
        <v>0</v>
      </c>
      <c r="K478" s="11">
        <v>995</v>
      </c>
      <c r="L478" s="11">
        <v>0</v>
      </c>
      <c r="M478" s="27">
        <f t="shared" si="65"/>
        <v>995</v>
      </c>
      <c r="N478" s="27">
        <v>0</v>
      </c>
      <c r="O478" s="366">
        <f t="shared" si="63"/>
        <v>3.5485284626933035E-05</v>
      </c>
    </row>
    <row r="479" spans="1:15" ht="14.25" customHeight="1">
      <c r="A479" s="26"/>
      <c r="B479" s="26" t="s">
        <v>730</v>
      </c>
      <c r="C479" s="32" t="s">
        <v>731</v>
      </c>
      <c r="D479" s="11"/>
      <c r="E479" s="11"/>
      <c r="F479" s="11"/>
      <c r="G479" s="11"/>
      <c r="H479" s="11">
        <v>1854</v>
      </c>
      <c r="I479" s="11">
        <v>0</v>
      </c>
      <c r="J479" s="11">
        <v>0</v>
      </c>
      <c r="K479" s="11">
        <v>2600</v>
      </c>
      <c r="L479" s="11">
        <v>0</v>
      </c>
      <c r="M479" s="27">
        <f t="shared" si="65"/>
        <v>2600</v>
      </c>
      <c r="N479" s="27">
        <v>0</v>
      </c>
      <c r="O479" s="366">
        <f t="shared" si="63"/>
        <v>9.272536686434763E-05</v>
      </c>
    </row>
    <row r="480" spans="1:15" ht="14.25" customHeight="1">
      <c r="A480" s="26"/>
      <c r="B480" s="26" t="s">
        <v>732</v>
      </c>
      <c r="C480" s="32" t="s">
        <v>824</v>
      </c>
      <c r="D480" s="11"/>
      <c r="E480" s="11"/>
      <c r="F480" s="11"/>
      <c r="G480" s="11"/>
      <c r="H480" s="11"/>
      <c r="I480" s="11"/>
      <c r="J480" s="11"/>
      <c r="K480" s="11">
        <v>3920</v>
      </c>
      <c r="L480" s="11">
        <v>0</v>
      </c>
      <c r="M480" s="27">
        <f>K480</f>
        <v>3920</v>
      </c>
      <c r="N480" s="27">
        <v>0</v>
      </c>
      <c r="O480" s="366">
        <f t="shared" si="63"/>
        <v>0.00013980132234932413</v>
      </c>
    </row>
    <row r="481" spans="1:15" ht="14.25" customHeight="1">
      <c r="A481" s="26"/>
      <c r="B481" s="26" t="s">
        <v>736</v>
      </c>
      <c r="C481" s="32" t="s">
        <v>826</v>
      </c>
      <c r="D481" s="11"/>
      <c r="E481" s="11">
        <v>0</v>
      </c>
      <c r="F481" s="11">
        <v>300</v>
      </c>
      <c r="G481" s="11">
        <v>0</v>
      </c>
      <c r="H481" s="11">
        <v>5560</v>
      </c>
      <c r="I481" s="11">
        <v>0</v>
      </c>
      <c r="J481" s="11">
        <v>0</v>
      </c>
      <c r="K481" s="11">
        <v>2280</v>
      </c>
      <c r="L481" s="11">
        <v>0</v>
      </c>
      <c r="M481" s="27">
        <f t="shared" si="65"/>
        <v>2280</v>
      </c>
      <c r="N481" s="27">
        <v>0</v>
      </c>
      <c r="O481" s="366">
        <f t="shared" si="63"/>
        <v>8.131301401950485E-05</v>
      </c>
    </row>
    <row r="482" spans="1:15" ht="13.5" customHeight="1">
      <c r="A482" s="26"/>
      <c r="B482" s="26" t="s">
        <v>738</v>
      </c>
      <c r="C482" s="32" t="s">
        <v>739</v>
      </c>
      <c r="D482" s="11"/>
      <c r="E482" s="11"/>
      <c r="F482" s="11"/>
      <c r="G482" s="11"/>
      <c r="H482" s="11">
        <v>1000</v>
      </c>
      <c r="I482" s="11">
        <v>0</v>
      </c>
      <c r="J482" s="11">
        <v>0</v>
      </c>
      <c r="K482" s="11">
        <v>1000</v>
      </c>
      <c r="L482" s="11">
        <v>0</v>
      </c>
      <c r="M482" s="27">
        <f t="shared" si="65"/>
        <v>1000</v>
      </c>
      <c r="N482" s="27">
        <v>0</v>
      </c>
      <c r="O482" s="366">
        <f t="shared" si="63"/>
        <v>3.5663602640133705E-05</v>
      </c>
    </row>
    <row r="483" spans="1:15" ht="15" customHeight="1">
      <c r="A483" s="26"/>
      <c r="B483" s="26" t="s">
        <v>742</v>
      </c>
      <c r="C483" s="32" t="s">
        <v>743</v>
      </c>
      <c r="D483" s="11"/>
      <c r="E483" s="11">
        <v>515</v>
      </c>
      <c r="F483" s="11">
        <v>0</v>
      </c>
      <c r="G483" s="11">
        <v>149</v>
      </c>
      <c r="H483" s="11">
        <v>1827</v>
      </c>
      <c r="I483" s="11">
        <v>0</v>
      </c>
      <c r="J483" s="11">
        <v>0</v>
      </c>
      <c r="K483" s="11">
        <v>1485</v>
      </c>
      <c r="L483" s="11">
        <v>0</v>
      </c>
      <c r="M483" s="27">
        <f t="shared" si="65"/>
        <v>1485</v>
      </c>
      <c r="N483" s="27">
        <v>0</v>
      </c>
      <c r="O483" s="366">
        <f t="shared" si="63"/>
        <v>5.2960449920598554E-05</v>
      </c>
    </row>
    <row r="484" spans="1:15" ht="17.25" customHeight="1">
      <c r="A484" s="29" t="s">
        <v>127</v>
      </c>
      <c r="B484" s="29"/>
      <c r="C484" s="7" t="s">
        <v>128</v>
      </c>
      <c r="D484" s="11"/>
      <c r="E484" s="11"/>
      <c r="F484" s="11"/>
      <c r="G484" s="11"/>
      <c r="H484" s="11"/>
      <c r="I484" s="11"/>
      <c r="J484" s="11"/>
      <c r="K484" s="10">
        <f>K485</f>
        <v>2400</v>
      </c>
      <c r="L484" s="10">
        <f>L485</f>
        <v>0</v>
      </c>
      <c r="M484" s="22">
        <f>M485</f>
        <v>2400</v>
      </c>
      <c r="N484" s="27">
        <f>N485</f>
        <v>0</v>
      </c>
      <c r="O484" s="366">
        <f t="shared" si="63"/>
        <v>8.559264633632089E-05</v>
      </c>
    </row>
    <row r="485" spans="1:15" ht="15.75" customHeight="1">
      <c r="A485" s="26"/>
      <c r="B485" s="26" t="s">
        <v>736</v>
      </c>
      <c r="C485" s="32" t="s">
        <v>826</v>
      </c>
      <c r="D485" s="11"/>
      <c r="E485" s="11"/>
      <c r="F485" s="11"/>
      <c r="G485" s="11"/>
      <c r="H485" s="11"/>
      <c r="I485" s="11"/>
      <c r="J485" s="11"/>
      <c r="K485" s="11">
        <v>2400</v>
      </c>
      <c r="L485" s="11">
        <v>0</v>
      </c>
      <c r="M485" s="27">
        <f>K485</f>
        <v>2400</v>
      </c>
      <c r="N485" s="27">
        <v>0</v>
      </c>
      <c r="O485" s="366">
        <f t="shared" si="63"/>
        <v>8.559264633632089E-05</v>
      </c>
    </row>
    <row r="486" spans="1:15" ht="15" customHeight="1">
      <c r="A486" s="29" t="s">
        <v>838</v>
      </c>
      <c r="B486" s="29"/>
      <c r="C486" s="7" t="s">
        <v>795</v>
      </c>
      <c r="D486" s="10"/>
      <c r="E486" s="10" t="e">
        <f>#REF!+#REF!</f>
        <v>#REF!</v>
      </c>
      <c r="F486" s="10" t="e">
        <f>#REF!+#REF!</f>
        <v>#REF!</v>
      </c>
      <c r="G486" s="10" t="e">
        <f>#REF!+#REF!</f>
        <v>#REF!</v>
      </c>
      <c r="H486" s="10" t="e">
        <f>#REF!+H489</f>
        <v>#REF!</v>
      </c>
      <c r="I486" s="10" t="e">
        <f>#REF!+I489</f>
        <v>#REF!</v>
      </c>
      <c r="J486" s="10" t="e">
        <f>#REF!+J489</f>
        <v>#REF!</v>
      </c>
      <c r="K486" s="10">
        <f>K487+K488+K489</f>
        <v>500</v>
      </c>
      <c r="L486" s="10">
        <f>L487+L488+L489</f>
        <v>0</v>
      </c>
      <c r="M486" s="10">
        <f>M487+M488+M489</f>
        <v>500</v>
      </c>
      <c r="N486" s="10">
        <f>N487+N488+N489</f>
        <v>0</v>
      </c>
      <c r="O486" s="366">
        <f t="shared" si="63"/>
        <v>1.7831801320066853E-05</v>
      </c>
    </row>
    <row r="487" spans="1:15" ht="14.25" customHeight="1">
      <c r="A487" s="29"/>
      <c r="B487" s="37" t="s">
        <v>730</v>
      </c>
      <c r="C487" s="32" t="s">
        <v>757</v>
      </c>
      <c r="D487" s="23"/>
      <c r="E487" s="23"/>
      <c r="F487" s="23"/>
      <c r="G487" s="23"/>
      <c r="H487" s="23"/>
      <c r="I487" s="23"/>
      <c r="J487" s="23"/>
      <c r="K487" s="23">
        <v>0</v>
      </c>
      <c r="L487" s="23">
        <v>0</v>
      </c>
      <c r="M487" s="23">
        <f>K487</f>
        <v>0</v>
      </c>
      <c r="N487" s="23">
        <v>0</v>
      </c>
      <c r="O487" s="366">
        <f aca="true" t="shared" si="66" ref="O487:O492">K487/$K$606</f>
        <v>0</v>
      </c>
    </row>
    <row r="488" spans="1:15" ht="14.25" customHeight="1">
      <c r="A488" s="29"/>
      <c r="B488" s="37" t="s">
        <v>732</v>
      </c>
      <c r="C488" s="32" t="s">
        <v>733</v>
      </c>
      <c r="D488" s="23"/>
      <c r="E488" s="23"/>
      <c r="F488" s="23"/>
      <c r="G488" s="23"/>
      <c r="H488" s="23"/>
      <c r="I488" s="23"/>
      <c r="J488" s="23"/>
      <c r="K488" s="23">
        <v>0</v>
      </c>
      <c r="L488" s="23">
        <v>0</v>
      </c>
      <c r="M488" s="23">
        <f>K488</f>
        <v>0</v>
      </c>
      <c r="N488" s="23">
        <v>0</v>
      </c>
      <c r="O488" s="366">
        <f t="shared" si="66"/>
        <v>0</v>
      </c>
    </row>
    <row r="489" spans="1:15" ht="14.25" customHeight="1">
      <c r="A489" s="26"/>
      <c r="B489" s="26" t="s">
        <v>736</v>
      </c>
      <c r="C489" s="32" t="s">
        <v>737</v>
      </c>
      <c r="D489" s="11"/>
      <c r="E489" s="11">
        <v>6515</v>
      </c>
      <c r="F489" s="11">
        <v>3292</v>
      </c>
      <c r="G489" s="11">
        <v>0</v>
      </c>
      <c r="H489" s="11">
        <v>2885</v>
      </c>
      <c r="I489" s="11">
        <v>0</v>
      </c>
      <c r="J489" s="11">
        <v>0</v>
      </c>
      <c r="K489" s="11">
        <v>500</v>
      </c>
      <c r="L489" s="11">
        <v>0</v>
      </c>
      <c r="M489" s="27">
        <f>K489</f>
        <v>500</v>
      </c>
      <c r="N489" s="27">
        <v>0</v>
      </c>
      <c r="O489" s="366">
        <f t="shared" si="66"/>
        <v>1.7831801320066853E-05</v>
      </c>
    </row>
    <row r="490" spans="1:15" ht="16.5" customHeight="1">
      <c r="A490" s="29" t="s">
        <v>31</v>
      </c>
      <c r="B490" s="29"/>
      <c r="C490" s="7" t="s">
        <v>837</v>
      </c>
      <c r="D490" s="10"/>
      <c r="E490" s="10"/>
      <c r="F490" s="10"/>
      <c r="G490" s="10"/>
      <c r="H490" s="10"/>
      <c r="I490" s="10"/>
      <c r="J490" s="10"/>
      <c r="K490" s="10">
        <f>K491+K493+K502</f>
        <v>690447</v>
      </c>
      <c r="L490" s="10">
        <f>L491+L493+L502</f>
        <v>0</v>
      </c>
      <c r="M490" s="10">
        <f>M491+M493+M502</f>
        <v>668491</v>
      </c>
      <c r="N490" s="10">
        <f>N491+N493+N502</f>
        <v>21956</v>
      </c>
      <c r="O490" s="366">
        <f t="shared" si="66"/>
        <v>0.024623827452072398</v>
      </c>
    </row>
    <row r="491" spans="1:15" ht="24" customHeight="1">
      <c r="A491" s="29" t="s">
        <v>177</v>
      </c>
      <c r="B491" s="29"/>
      <c r="C491" s="7" t="s">
        <v>178</v>
      </c>
      <c r="D491" s="10"/>
      <c r="E491" s="10"/>
      <c r="F491" s="10"/>
      <c r="G491" s="10"/>
      <c r="H491" s="10"/>
      <c r="I491" s="10"/>
      <c r="J491" s="10"/>
      <c r="K491" s="10">
        <f>K492</f>
        <v>21956</v>
      </c>
      <c r="L491" s="10">
        <f>L492</f>
        <v>0</v>
      </c>
      <c r="M491" s="10">
        <f>M492</f>
        <v>0</v>
      </c>
      <c r="N491" s="10">
        <f>N492</f>
        <v>21956</v>
      </c>
      <c r="O491" s="366">
        <f t="shared" si="66"/>
        <v>0.0007830300595667757</v>
      </c>
    </row>
    <row r="492" spans="1:15" ht="15.75" customHeight="1">
      <c r="A492" s="26"/>
      <c r="B492" s="26" t="s">
        <v>783</v>
      </c>
      <c r="C492" s="32" t="s">
        <v>179</v>
      </c>
      <c r="D492" s="11"/>
      <c r="E492" s="11"/>
      <c r="F492" s="11"/>
      <c r="G492" s="11"/>
      <c r="H492" s="11"/>
      <c r="I492" s="11"/>
      <c r="J492" s="11"/>
      <c r="K492" s="11">
        <v>21956</v>
      </c>
      <c r="L492" s="11">
        <v>0</v>
      </c>
      <c r="M492" s="27">
        <v>0</v>
      </c>
      <c r="N492" s="27">
        <f>K492</f>
        <v>21956</v>
      </c>
      <c r="O492" s="366">
        <f t="shared" si="66"/>
        <v>0.0007830300595667757</v>
      </c>
    </row>
    <row r="493" spans="1:15" ht="14.25" customHeight="1">
      <c r="A493" s="29" t="s">
        <v>46</v>
      </c>
      <c r="B493" s="29"/>
      <c r="C493" s="7" t="s">
        <v>378</v>
      </c>
      <c r="D493" s="10"/>
      <c r="E493" s="10"/>
      <c r="F493" s="10"/>
      <c r="G493" s="10"/>
      <c r="H493" s="10"/>
      <c r="I493" s="10"/>
      <c r="J493" s="10"/>
      <c r="K493" s="10">
        <f>K494+K495+K496+K497+K498+K499+K500+K501</f>
        <v>20491</v>
      </c>
      <c r="L493" s="10">
        <f>L494+L495+L496+L497+L498+L499+L500+L501</f>
        <v>0</v>
      </c>
      <c r="M493" s="10">
        <f>M494+M495+M496+M497+M498+M499+M500+M501</f>
        <v>20491</v>
      </c>
      <c r="N493" s="10">
        <f>N494+N495+N496+N497+N498+N499+N500+N501</f>
        <v>0</v>
      </c>
      <c r="O493" s="366">
        <f aca="true" t="shared" si="67" ref="O493:O501">K493/$K$606</f>
        <v>0.0007307828816989798</v>
      </c>
    </row>
    <row r="494" spans="1:15" ht="15.75" customHeight="1">
      <c r="A494" s="26"/>
      <c r="B494" s="26" t="s">
        <v>720</v>
      </c>
      <c r="C494" s="32" t="s">
        <v>721</v>
      </c>
      <c r="D494" s="11">
        <v>16515</v>
      </c>
      <c r="E494" s="11">
        <v>15028</v>
      </c>
      <c r="F494" s="11">
        <v>0</v>
      </c>
      <c r="G494" s="11">
        <v>0</v>
      </c>
      <c r="H494" s="11">
        <v>9550</v>
      </c>
      <c r="I494" s="11">
        <v>0</v>
      </c>
      <c r="J494" s="11">
        <v>0</v>
      </c>
      <c r="K494" s="11">
        <v>15000</v>
      </c>
      <c r="L494" s="11">
        <v>0</v>
      </c>
      <c r="M494" s="27">
        <f aca="true" t="shared" si="68" ref="M494:M501">K494</f>
        <v>15000</v>
      </c>
      <c r="N494" s="27">
        <v>0</v>
      </c>
      <c r="O494" s="366">
        <f t="shared" si="67"/>
        <v>0.0005349540396020056</v>
      </c>
    </row>
    <row r="495" spans="1:15" ht="13.5" customHeight="1">
      <c r="A495" s="26"/>
      <c r="B495" s="26" t="s">
        <v>724</v>
      </c>
      <c r="C495" s="32" t="s">
        <v>725</v>
      </c>
      <c r="D495" s="11"/>
      <c r="E495" s="11"/>
      <c r="F495" s="11"/>
      <c r="G495" s="11"/>
      <c r="H495" s="11">
        <v>765</v>
      </c>
      <c r="I495" s="11">
        <v>0</v>
      </c>
      <c r="J495" s="11">
        <v>0</v>
      </c>
      <c r="K495" s="11">
        <v>1122</v>
      </c>
      <c r="L495" s="11">
        <v>0</v>
      </c>
      <c r="M495" s="27">
        <f t="shared" si="68"/>
        <v>1122</v>
      </c>
      <c r="N495" s="27">
        <v>0</v>
      </c>
      <c r="O495" s="366">
        <f t="shared" si="67"/>
        <v>4.001456216223002E-05</v>
      </c>
    </row>
    <row r="496" spans="1:15" ht="14.25" customHeight="1">
      <c r="A496" s="26"/>
      <c r="B496" s="39" t="s">
        <v>753</v>
      </c>
      <c r="C496" s="32" t="s">
        <v>47</v>
      </c>
      <c r="D496" s="11">
        <v>3358</v>
      </c>
      <c r="E496" s="11">
        <v>2709</v>
      </c>
      <c r="F496" s="11">
        <v>0</v>
      </c>
      <c r="G496" s="11">
        <v>0</v>
      </c>
      <c r="H496" s="11">
        <v>1844</v>
      </c>
      <c r="I496" s="11">
        <v>0</v>
      </c>
      <c r="J496" s="11">
        <v>0</v>
      </c>
      <c r="K496" s="11">
        <v>2778</v>
      </c>
      <c r="L496" s="11">
        <v>0</v>
      </c>
      <c r="M496" s="27">
        <f t="shared" si="68"/>
        <v>2778</v>
      </c>
      <c r="N496" s="27">
        <v>0</v>
      </c>
      <c r="O496" s="366">
        <f t="shared" si="67"/>
        <v>9.907348813429144E-05</v>
      </c>
    </row>
    <row r="497" spans="1:15" ht="13.5" customHeight="1">
      <c r="A497" s="26"/>
      <c r="B497" s="39" t="s">
        <v>728</v>
      </c>
      <c r="C497" s="32" t="s">
        <v>729</v>
      </c>
      <c r="D497" s="11"/>
      <c r="E497" s="11">
        <v>371</v>
      </c>
      <c r="F497" s="11">
        <v>0</v>
      </c>
      <c r="G497" s="11">
        <v>0</v>
      </c>
      <c r="H497" s="11">
        <v>253</v>
      </c>
      <c r="I497" s="11">
        <v>0</v>
      </c>
      <c r="J497" s="11">
        <v>0</v>
      </c>
      <c r="K497" s="11">
        <v>395</v>
      </c>
      <c r="L497" s="11">
        <v>0</v>
      </c>
      <c r="M497" s="27">
        <f t="shared" si="68"/>
        <v>395</v>
      </c>
      <c r="N497" s="27">
        <v>0</v>
      </c>
      <c r="O497" s="366">
        <f t="shared" si="67"/>
        <v>1.4087123042852814E-05</v>
      </c>
    </row>
    <row r="498" spans="1:15" ht="13.5" customHeight="1">
      <c r="A498" s="26"/>
      <c r="B498" s="26" t="s">
        <v>730</v>
      </c>
      <c r="C498" s="32" t="s">
        <v>757</v>
      </c>
      <c r="D498" s="11">
        <v>0</v>
      </c>
      <c r="E498" s="11">
        <v>0</v>
      </c>
      <c r="F498" s="11"/>
      <c r="G498" s="11"/>
      <c r="H498" s="10"/>
      <c r="I498" s="10"/>
      <c r="J498" s="10"/>
      <c r="K498" s="23">
        <v>244</v>
      </c>
      <c r="L498" s="23">
        <v>0</v>
      </c>
      <c r="M498" s="27">
        <f t="shared" si="68"/>
        <v>244</v>
      </c>
      <c r="N498" s="27">
        <v>0</v>
      </c>
      <c r="O498" s="366">
        <f t="shared" si="67"/>
        <v>8.701919044192625E-06</v>
      </c>
    </row>
    <row r="499" spans="1:15" ht="14.25" customHeight="1">
      <c r="A499" s="26"/>
      <c r="B499" s="26" t="s">
        <v>736</v>
      </c>
      <c r="C499" s="32" t="s">
        <v>826</v>
      </c>
      <c r="D499" s="11"/>
      <c r="E499" s="11"/>
      <c r="F499" s="11"/>
      <c r="G499" s="11"/>
      <c r="H499" s="11">
        <v>29725</v>
      </c>
      <c r="I499" s="11">
        <v>0</v>
      </c>
      <c r="J499" s="11">
        <v>0</v>
      </c>
      <c r="K499" s="11">
        <v>507</v>
      </c>
      <c r="L499" s="11">
        <v>0</v>
      </c>
      <c r="M499" s="27">
        <f t="shared" si="68"/>
        <v>507</v>
      </c>
      <c r="N499" s="27">
        <v>0</v>
      </c>
      <c r="O499" s="366">
        <f t="shared" si="67"/>
        <v>1.808144653854779E-05</v>
      </c>
    </row>
    <row r="500" spans="1:15" ht="14.25" customHeight="1">
      <c r="A500" s="26"/>
      <c r="B500" s="26" t="s">
        <v>740</v>
      </c>
      <c r="C500" s="32" t="s">
        <v>741</v>
      </c>
      <c r="D500" s="11"/>
      <c r="E500" s="11"/>
      <c r="F500" s="11"/>
      <c r="G500" s="11"/>
      <c r="H500" s="11"/>
      <c r="I500" s="11"/>
      <c r="J500" s="11"/>
      <c r="K500" s="11">
        <v>0</v>
      </c>
      <c r="L500" s="11">
        <v>0</v>
      </c>
      <c r="M500" s="27">
        <f>K500</f>
        <v>0</v>
      </c>
      <c r="N500" s="27">
        <v>0</v>
      </c>
      <c r="O500" s="366">
        <f t="shared" si="67"/>
        <v>0</v>
      </c>
    </row>
    <row r="501" spans="1:15" ht="12.75" customHeight="1">
      <c r="A501" s="26"/>
      <c r="B501" s="26" t="s">
        <v>742</v>
      </c>
      <c r="C501" s="32" t="s">
        <v>743</v>
      </c>
      <c r="D501" s="11"/>
      <c r="E501" s="11"/>
      <c r="F501" s="11"/>
      <c r="G501" s="11"/>
      <c r="H501" s="11"/>
      <c r="I501" s="11"/>
      <c r="J501" s="11"/>
      <c r="K501" s="11">
        <v>445</v>
      </c>
      <c r="L501" s="11">
        <v>0</v>
      </c>
      <c r="M501" s="27">
        <f t="shared" si="68"/>
        <v>445</v>
      </c>
      <c r="N501" s="27">
        <v>0</v>
      </c>
      <c r="O501" s="366">
        <f t="shared" si="67"/>
        <v>1.58703031748595E-05</v>
      </c>
    </row>
    <row r="502" spans="1:15" ht="15.75" customHeight="1">
      <c r="A502" s="29" t="s">
        <v>51</v>
      </c>
      <c r="B502" s="26"/>
      <c r="C502" s="7" t="s">
        <v>52</v>
      </c>
      <c r="D502" s="10">
        <f>D503+D504+D505+D507</f>
        <v>982000</v>
      </c>
      <c r="E502" s="10" t="e">
        <f>E503+E504+E505+E506+E507+E508+E509+E510+#REF!+E511+E512+E513+E515</f>
        <v>#REF!</v>
      </c>
      <c r="F502" s="10" t="e">
        <f>F503+F504+F505+F506+F507+F508+F509+F510+#REF!+F511+F512+F513+F515</f>
        <v>#REF!</v>
      </c>
      <c r="G502" s="10" t="e">
        <f>G503+G504+G505+G506+G507+G508+G509+G510+#REF!+G511+G512+G513+G515</f>
        <v>#REF!</v>
      </c>
      <c r="H502" s="10">
        <f>H503+H504+H505+H506+H509+H510+H511+H512+H513+H514+H515</f>
        <v>592705</v>
      </c>
      <c r="I502" s="10">
        <f>I503+I504+I505+I506+I509+I510+I511+I512+I513+I514+I515</f>
        <v>0</v>
      </c>
      <c r="J502" s="10">
        <f>J503+J504+J505+J506+J509+J510+J511+J512+J513+J514+J515</f>
        <v>0</v>
      </c>
      <c r="K502" s="10">
        <f>K503+K504+K505+K506+K509+K510+K511+K512+K513+K514+K515+K516</f>
        <v>648000</v>
      </c>
      <c r="L502" s="10">
        <f>L503+L504+L505+L506+L509+L510+L511+L512+L513+L514+L515+L516</f>
        <v>0</v>
      </c>
      <c r="M502" s="10">
        <f>M503+M504+M505+M506+M509+M510+M511+M512+M513+M514+M515+M516</f>
        <v>648000</v>
      </c>
      <c r="N502" s="10">
        <f>N503+N504+N505+N506+N509+N510+N511+N512+N513+N514+N515+N516</f>
        <v>0</v>
      </c>
      <c r="O502" s="366">
        <f aca="true" t="shared" si="69" ref="O502:O536">K502/$K$606</f>
        <v>0.02311001451080664</v>
      </c>
    </row>
    <row r="503" spans="1:15" ht="15.75" customHeight="1">
      <c r="A503" s="26"/>
      <c r="B503" s="26" t="s">
        <v>720</v>
      </c>
      <c r="C503" s="32" t="s">
        <v>721</v>
      </c>
      <c r="D503" s="11">
        <v>606420</v>
      </c>
      <c r="E503" s="11">
        <v>652585</v>
      </c>
      <c r="F503" s="11">
        <v>0</v>
      </c>
      <c r="G503" s="11">
        <v>0</v>
      </c>
      <c r="H503" s="11">
        <v>370235</v>
      </c>
      <c r="I503" s="11">
        <v>0</v>
      </c>
      <c r="J503" s="11">
        <v>0</v>
      </c>
      <c r="K503" s="11">
        <v>427975</v>
      </c>
      <c r="L503" s="11">
        <v>0</v>
      </c>
      <c r="M503" s="27">
        <f>K503-L503</f>
        <v>427975</v>
      </c>
      <c r="N503" s="27">
        <v>0</v>
      </c>
      <c r="O503" s="366">
        <f t="shared" si="69"/>
        <v>0.015263130339911224</v>
      </c>
    </row>
    <row r="504" spans="1:15" ht="15" customHeight="1">
      <c r="A504" s="26"/>
      <c r="B504" s="26" t="s">
        <v>724</v>
      </c>
      <c r="C504" s="32" t="s">
        <v>725</v>
      </c>
      <c r="D504" s="11">
        <v>48267</v>
      </c>
      <c r="E504" s="11">
        <v>48566</v>
      </c>
      <c r="F504" s="11">
        <v>0</v>
      </c>
      <c r="G504" s="11">
        <v>0</v>
      </c>
      <c r="H504" s="23">
        <v>28767</v>
      </c>
      <c r="I504" s="23">
        <v>0</v>
      </c>
      <c r="J504" s="23">
        <v>0</v>
      </c>
      <c r="K504" s="11">
        <v>36340</v>
      </c>
      <c r="L504" s="11">
        <v>0</v>
      </c>
      <c r="M504" s="27">
        <f aca="true" t="shared" si="70" ref="M504:M515">K504-L504</f>
        <v>36340</v>
      </c>
      <c r="N504" s="27">
        <v>0</v>
      </c>
      <c r="O504" s="366">
        <f t="shared" si="69"/>
        <v>0.001296015319942459</v>
      </c>
    </row>
    <row r="505" spans="1:15" ht="15" customHeight="1">
      <c r="A505" s="26"/>
      <c r="B505" s="39" t="s">
        <v>777</v>
      </c>
      <c r="C505" s="32" t="s">
        <v>793</v>
      </c>
      <c r="D505" s="11">
        <v>131863</v>
      </c>
      <c r="E505" s="11">
        <v>124716</v>
      </c>
      <c r="F505" s="11">
        <v>0</v>
      </c>
      <c r="G505" s="11">
        <v>0</v>
      </c>
      <c r="H505" s="11">
        <v>68092</v>
      </c>
      <c r="I505" s="11">
        <v>0</v>
      </c>
      <c r="J505" s="11">
        <v>0</v>
      </c>
      <c r="K505" s="11">
        <v>78924</v>
      </c>
      <c r="L505" s="11">
        <v>0</v>
      </c>
      <c r="M505" s="27">
        <f t="shared" si="70"/>
        <v>78924</v>
      </c>
      <c r="N505" s="27">
        <v>0</v>
      </c>
      <c r="O505" s="366">
        <f t="shared" si="69"/>
        <v>0.002814714174769913</v>
      </c>
    </row>
    <row r="506" spans="1:15" ht="14.25" customHeight="1">
      <c r="A506" s="26"/>
      <c r="B506" s="39" t="s">
        <v>728</v>
      </c>
      <c r="C506" s="32" t="s">
        <v>729</v>
      </c>
      <c r="D506" s="11"/>
      <c r="E506" s="11">
        <v>16239</v>
      </c>
      <c r="F506" s="11">
        <v>0</v>
      </c>
      <c r="G506" s="11">
        <v>0</v>
      </c>
      <c r="H506" s="11">
        <v>11100</v>
      </c>
      <c r="I506" s="11">
        <v>0</v>
      </c>
      <c r="J506" s="11">
        <v>0</v>
      </c>
      <c r="K506" s="11">
        <v>13305</v>
      </c>
      <c r="L506" s="11">
        <v>0</v>
      </c>
      <c r="M506" s="27">
        <f t="shared" si="70"/>
        <v>13305</v>
      </c>
      <c r="N506" s="27">
        <v>0</v>
      </c>
      <c r="O506" s="366">
        <f t="shared" si="69"/>
        <v>0.000474504233126979</v>
      </c>
    </row>
    <row r="507" spans="1:15" ht="18" customHeight="1" hidden="1">
      <c r="A507" s="26"/>
      <c r="B507" s="26" t="s">
        <v>742</v>
      </c>
      <c r="C507" s="32" t="s">
        <v>743</v>
      </c>
      <c r="D507" s="11">
        <v>195450</v>
      </c>
      <c r="E507" s="11">
        <v>21802</v>
      </c>
      <c r="F507" s="11">
        <v>0</v>
      </c>
      <c r="G507" s="11">
        <v>0</v>
      </c>
      <c r="H507" s="10"/>
      <c r="I507" s="10"/>
      <c r="J507" s="10"/>
      <c r="K507" s="11"/>
      <c r="L507" s="11"/>
      <c r="M507" s="27">
        <f t="shared" si="70"/>
        <v>0</v>
      </c>
      <c r="N507" s="27">
        <v>0</v>
      </c>
      <c r="O507" s="366">
        <f t="shared" si="69"/>
        <v>0</v>
      </c>
    </row>
    <row r="508" spans="1:15" ht="18.75" customHeight="1" hidden="1">
      <c r="A508" s="26"/>
      <c r="B508" s="26" t="s">
        <v>718</v>
      </c>
      <c r="C508" s="32" t="s">
        <v>787</v>
      </c>
      <c r="D508" s="11"/>
      <c r="E508" s="11">
        <v>5700</v>
      </c>
      <c r="F508" s="11">
        <v>0</v>
      </c>
      <c r="G508" s="11">
        <v>0</v>
      </c>
      <c r="H508" s="10"/>
      <c r="I508" s="10"/>
      <c r="J508" s="10"/>
      <c r="K508" s="11"/>
      <c r="L508" s="11"/>
      <c r="M508" s="27">
        <f t="shared" si="70"/>
        <v>0</v>
      </c>
      <c r="N508" s="27">
        <v>0</v>
      </c>
      <c r="O508" s="366">
        <f t="shared" si="69"/>
        <v>0</v>
      </c>
    </row>
    <row r="509" spans="1:15" ht="14.25" customHeight="1">
      <c r="A509" s="26"/>
      <c r="B509" s="26" t="s">
        <v>730</v>
      </c>
      <c r="C509" s="32" t="s">
        <v>872</v>
      </c>
      <c r="D509" s="11"/>
      <c r="E509" s="11">
        <v>20202</v>
      </c>
      <c r="F509" s="11">
        <v>0</v>
      </c>
      <c r="G509" s="11">
        <v>0</v>
      </c>
      <c r="H509" s="11">
        <v>25567</v>
      </c>
      <c r="I509" s="11">
        <v>0</v>
      </c>
      <c r="J509" s="11">
        <v>0</v>
      </c>
      <c r="K509" s="11">
        <v>11081</v>
      </c>
      <c r="L509" s="11">
        <v>0</v>
      </c>
      <c r="M509" s="27">
        <f t="shared" si="70"/>
        <v>11081</v>
      </c>
      <c r="N509" s="27">
        <v>0</v>
      </c>
      <c r="O509" s="366">
        <f t="shared" si="69"/>
        <v>0.0003951883808553216</v>
      </c>
    </row>
    <row r="510" spans="1:15" ht="13.5" customHeight="1">
      <c r="A510" s="26"/>
      <c r="B510" s="26" t="s">
        <v>732</v>
      </c>
      <c r="C510" s="32" t="s">
        <v>824</v>
      </c>
      <c r="D510" s="11"/>
      <c r="E510" s="11">
        <v>31800</v>
      </c>
      <c r="F510" s="11">
        <v>0</v>
      </c>
      <c r="G510" s="11">
        <v>0</v>
      </c>
      <c r="H510" s="11">
        <v>34876</v>
      </c>
      <c r="I510" s="11">
        <v>0</v>
      </c>
      <c r="J510" s="11">
        <v>0</v>
      </c>
      <c r="K510" s="11">
        <v>30210</v>
      </c>
      <c r="L510" s="11">
        <v>0</v>
      </c>
      <c r="M510" s="27">
        <f t="shared" si="70"/>
        <v>30210</v>
      </c>
      <c r="N510" s="27">
        <v>0</v>
      </c>
      <c r="O510" s="366">
        <f t="shared" si="69"/>
        <v>0.0010773974357584392</v>
      </c>
    </row>
    <row r="511" spans="1:15" ht="15" customHeight="1">
      <c r="A511" s="26"/>
      <c r="B511" s="26" t="s">
        <v>736</v>
      </c>
      <c r="C511" s="32" t="s">
        <v>826</v>
      </c>
      <c r="D511" s="11"/>
      <c r="E511" s="11">
        <v>17850</v>
      </c>
      <c r="F511" s="11">
        <v>0</v>
      </c>
      <c r="G511" s="11">
        <v>0</v>
      </c>
      <c r="H511" s="11">
        <v>33475</v>
      </c>
      <c r="I511" s="11">
        <v>0</v>
      </c>
      <c r="J511" s="11">
        <v>0</v>
      </c>
      <c r="K511" s="11">
        <v>28372</v>
      </c>
      <c r="L511" s="11">
        <v>0</v>
      </c>
      <c r="M511" s="27">
        <f t="shared" si="70"/>
        <v>28372</v>
      </c>
      <c r="N511" s="27">
        <v>0</v>
      </c>
      <c r="O511" s="366">
        <f t="shared" si="69"/>
        <v>0.0010118477341058735</v>
      </c>
    </row>
    <row r="512" spans="1:15" ht="14.25" customHeight="1">
      <c r="A512" s="26"/>
      <c r="B512" s="26" t="s">
        <v>738</v>
      </c>
      <c r="C512" s="32" t="s">
        <v>739</v>
      </c>
      <c r="D512" s="11"/>
      <c r="E512" s="11">
        <v>1400</v>
      </c>
      <c r="F512" s="11">
        <v>0</v>
      </c>
      <c r="G512" s="11">
        <v>0</v>
      </c>
      <c r="H512" s="11">
        <v>2000</v>
      </c>
      <c r="I512" s="11">
        <v>0</v>
      </c>
      <c r="J512" s="11">
        <v>0</v>
      </c>
      <c r="K512" s="11">
        <v>2000</v>
      </c>
      <c r="L512" s="11">
        <v>0</v>
      </c>
      <c r="M512" s="27">
        <f t="shared" si="70"/>
        <v>2000</v>
      </c>
      <c r="N512" s="27">
        <v>0</v>
      </c>
      <c r="O512" s="366">
        <f t="shared" si="69"/>
        <v>7.132720528026741E-05</v>
      </c>
    </row>
    <row r="513" spans="1:15" ht="14.25" customHeight="1">
      <c r="A513" s="26"/>
      <c r="B513" s="26" t="s">
        <v>740</v>
      </c>
      <c r="C513" s="32" t="s">
        <v>741</v>
      </c>
      <c r="D513" s="11"/>
      <c r="E513" s="11">
        <v>5890</v>
      </c>
      <c r="F513" s="11">
        <v>0</v>
      </c>
      <c r="G513" s="11">
        <v>0</v>
      </c>
      <c r="H513" s="11">
        <v>3200</v>
      </c>
      <c r="I513" s="11">
        <v>0</v>
      </c>
      <c r="J513" s="11">
        <v>0</v>
      </c>
      <c r="K513" s="11">
        <v>2000</v>
      </c>
      <c r="L513" s="11">
        <v>0</v>
      </c>
      <c r="M513" s="27">
        <f t="shared" si="70"/>
        <v>2000</v>
      </c>
      <c r="N513" s="27">
        <v>0</v>
      </c>
      <c r="O513" s="366">
        <f t="shared" si="69"/>
        <v>7.132720528026741E-05</v>
      </c>
    </row>
    <row r="514" spans="1:15" ht="14.25" customHeight="1">
      <c r="A514" s="26"/>
      <c r="B514" s="26" t="s">
        <v>742</v>
      </c>
      <c r="C514" s="32" t="s">
        <v>743</v>
      </c>
      <c r="D514" s="11"/>
      <c r="E514" s="11"/>
      <c r="F514" s="11"/>
      <c r="G514" s="11"/>
      <c r="H514" s="11">
        <v>12853</v>
      </c>
      <c r="I514" s="11">
        <v>0</v>
      </c>
      <c r="J514" s="11">
        <v>0</v>
      </c>
      <c r="K514" s="11">
        <v>15593</v>
      </c>
      <c r="L514" s="11">
        <v>0</v>
      </c>
      <c r="M514" s="27">
        <f t="shared" si="70"/>
        <v>15593</v>
      </c>
      <c r="N514" s="27">
        <v>0</v>
      </c>
      <c r="O514" s="366">
        <f t="shared" si="69"/>
        <v>0.0005561025559676049</v>
      </c>
    </row>
    <row r="515" spans="1:15" ht="14.25" customHeight="1">
      <c r="A515" s="26"/>
      <c r="B515" s="26" t="s">
        <v>758</v>
      </c>
      <c r="C515" s="32" t="s">
        <v>759</v>
      </c>
      <c r="D515" s="11"/>
      <c r="E515" s="11">
        <v>3250</v>
      </c>
      <c r="F515" s="11">
        <v>0</v>
      </c>
      <c r="G515" s="11">
        <v>0</v>
      </c>
      <c r="H515" s="11">
        <v>2540</v>
      </c>
      <c r="I515" s="11">
        <v>0</v>
      </c>
      <c r="J515" s="11">
        <v>0</v>
      </c>
      <c r="K515" s="11">
        <v>2200</v>
      </c>
      <c r="L515" s="11">
        <v>0</v>
      </c>
      <c r="M515" s="27">
        <f t="shared" si="70"/>
        <v>2200</v>
      </c>
      <c r="N515" s="27">
        <v>0</v>
      </c>
      <c r="O515" s="366">
        <f t="shared" si="69"/>
        <v>7.845992580829415E-05</v>
      </c>
    </row>
    <row r="516" spans="1:15" ht="15" customHeight="1">
      <c r="A516" s="26"/>
      <c r="B516" s="26" t="s">
        <v>762</v>
      </c>
      <c r="C516" s="32" t="s">
        <v>584</v>
      </c>
      <c r="D516" s="11"/>
      <c r="E516" s="11"/>
      <c r="F516" s="11"/>
      <c r="G516" s="11"/>
      <c r="H516" s="11"/>
      <c r="I516" s="11"/>
      <c r="J516" s="11"/>
      <c r="K516" s="11">
        <v>0</v>
      </c>
      <c r="L516" s="11">
        <v>0</v>
      </c>
      <c r="M516" s="27">
        <f>K516</f>
        <v>0</v>
      </c>
      <c r="N516" s="27">
        <v>0</v>
      </c>
      <c r="O516" s="366"/>
    </row>
    <row r="517" spans="1:15" s="40" customFormat="1" ht="15" customHeight="1">
      <c r="A517" s="29" t="s">
        <v>54</v>
      </c>
      <c r="B517" s="29"/>
      <c r="C517" s="418" t="s">
        <v>55</v>
      </c>
      <c r="D517" s="10" t="e">
        <f>D518+D534+D550+D566+D578</f>
        <v>#REF!</v>
      </c>
      <c r="E517" s="10" t="e">
        <f>E518+E534+E550+E566+E578+E572+E586</f>
        <v>#REF!</v>
      </c>
      <c r="F517" s="10" t="e">
        <f>F518+F534+F550+F578+F572+F586</f>
        <v>#REF!</v>
      </c>
      <c r="G517" s="10" t="e">
        <f>G518+G534+G550+G578+G572+G586</f>
        <v>#REF!</v>
      </c>
      <c r="H517" s="10" t="e">
        <f>H518+#REF!+H534+H550+H578+H586+H576</f>
        <v>#REF!</v>
      </c>
      <c r="I517" s="10" t="e">
        <f>I518+#REF!+I534+I550+I578+I586+I576</f>
        <v>#REF!</v>
      </c>
      <c r="J517" s="10" t="e">
        <f>J518+#REF!+J534+J550+J578+J586+J576</f>
        <v>#REF!</v>
      </c>
      <c r="K517" s="10">
        <f>K518+K534+K550+K578+K586+K576</f>
        <v>3086075</v>
      </c>
      <c r="L517" s="10">
        <f>L518+L534+L550+L578+L586+L576</f>
        <v>0</v>
      </c>
      <c r="M517" s="10">
        <f>M518+M534+M550+M578+M586+M576</f>
        <v>3084575</v>
      </c>
      <c r="N517" s="10">
        <f>N518+N534+N550+N578+N586+N576</f>
        <v>1500</v>
      </c>
      <c r="O517" s="366">
        <f t="shared" si="69"/>
        <v>0.11006055251765064</v>
      </c>
    </row>
    <row r="518" spans="1:15" ht="14.25" customHeight="1">
      <c r="A518" s="29" t="s">
        <v>56</v>
      </c>
      <c r="B518" s="26"/>
      <c r="C518" s="7" t="s">
        <v>57</v>
      </c>
      <c r="D518" s="10">
        <f>D519+D520+D521+D532</f>
        <v>2045066</v>
      </c>
      <c r="E518" s="10" t="e">
        <f>E519+E520+E521+E522+E523+E524+E525+E526+#REF!+E528+E529+#REF!+E531+E533</f>
        <v>#REF!</v>
      </c>
      <c r="F518" s="10" t="e">
        <f>F519+F520+F521+F522+F523+F524+F525+F526+#REF!+F528+F529+#REF!+F531+F533</f>
        <v>#REF!</v>
      </c>
      <c r="G518" s="10" t="e">
        <f>G519+G520+G521+G522+G523+G524+G525+G526+#REF!+G528+G529+#REF!+G531+G533</f>
        <v>#REF!</v>
      </c>
      <c r="H518" s="10" t="e">
        <f>H519+H520+H521+H522+H524+H525+H526+#REF!+H528+H529+#REF!+H531+H532+#REF!</f>
        <v>#REF!</v>
      </c>
      <c r="I518" s="10" t="e">
        <f>I519+I520+I521+I522+I524+I525+I526+#REF!+I528+I529+#REF!+I531+I532+#REF!</f>
        <v>#REF!</v>
      </c>
      <c r="J518" s="10" t="e">
        <f>J519+J520+J521+J522+J524+J525+J526+#REF!+J528+J529+#REF!+J531+J532+#REF!</f>
        <v>#REF!</v>
      </c>
      <c r="K518" s="10">
        <f>K519+K520+K521+K522+K523+K524+K525+K526+K528+K529+K530+K531</f>
        <v>1086439</v>
      </c>
      <c r="L518" s="10">
        <f>L519+L520+L521+L522+L524+L525+L526+L528+L529+L531+L532+L523+L527+L530+L533</f>
        <v>0</v>
      </c>
      <c r="M518" s="10">
        <f>M519+M520+M521+M522+M523+M524+M525+M526+M528+M529+M530+M531</f>
        <v>1086439</v>
      </c>
      <c r="N518" s="10">
        <f>N519+N520+N521+N522+N524+N525+N526+N528+N529+N531+N532+N523+N527+N530+N533</f>
        <v>0</v>
      </c>
      <c r="O518" s="366">
        <f t="shared" si="69"/>
        <v>0.038746328788744226</v>
      </c>
    </row>
    <row r="519" spans="1:15" ht="16.5" customHeight="1">
      <c r="A519" s="26"/>
      <c r="B519" s="26" t="s">
        <v>720</v>
      </c>
      <c r="C519" s="32" t="s">
        <v>721</v>
      </c>
      <c r="D519" s="11">
        <v>1270889</v>
      </c>
      <c r="E519" s="11">
        <v>1044649</v>
      </c>
      <c r="F519" s="11">
        <v>19143</v>
      </c>
      <c r="G519" s="11">
        <v>45000</v>
      </c>
      <c r="H519" s="11">
        <v>562350</v>
      </c>
      <c r="I519" s="11">
        <v>0</v>
      </c>
      <c r="J519" s="11">
        <v>0</v>
      </c>
      <c r="K519" s="11">
        <v>632315</v>
      </c>
      <c r="L519" s="11">
        <v>0</v>
      </c>
      <c r="M519" s="27">
        <f>K519</f>
        <v>632315</v>
      </c>
      <c r="N519" s="27">
        <v>0</v>
      </c>
      <c r="O519" s="366">
        <f t="shared" si="69"/>
        <v>0.022550630903396145</v>
      </c>
    </row>
    <row r="520" spans="1:15" ht="15.75" customHeight="1">
      <c r="A520" s="26"/>
      <c r="B520" s="26" t="s">
        <v>724</v>
      </c>
      <c r="C520" s="32" t="s">
        <v>725</v>
      </c>
      <c r="D520" s="11">
        <v>95035</v>
      </c>
      <c r="E520" s="11">
        <v>92025</v>
      </c>
      <c r="F520" s="11">
        <v>0</v>
      </c>
      <c r="G520" s="11">
        <v>0</v>
      </c>
      <c r="H520" s="11">
        <v>46308</v>
      </c>
      <c r="I520" s="11">
        <v>0</v>
      </c>
      <c r="J520" s="11">
        <v>0</v>
      </c>
      <c r="K520" s="11">
        <v>47560</v>
      </c>
      <c r="L520" s="11">
        <v>0</v>
      </c>
      <c r="M520" s="27">
        <f aca="true" t="shared" si="71" ref="M520:M531">K520</f>
        <v>47560</v>
      </c>
      <c r="N520" s="27">
        <v>0</v>
      </c>
      <c r="O520" s="366">
        <f t="shared" si="69"/>
        <v>0.001696160941564759</v>
      </c>
    </row>
    <row r="521" spans="1:15" ht="15" customHeight="1">
      <c r="A521" s="26"/>
      <c r="B521" s="39" t="s">
        <v>753</v>
      </c>
      <c r="C521" s="32" t="s">
        <v>793</v>
      </c>
      <c r="D521" s="11">
        <v>274033</v>
      </c>
      <c r="E521" s="11">
        <v>199495</v>
      </c>
      <c r="F521" s="11">
        <v>2349</v>
      </c>
      <c r="G521" s="11">
        <v>8046</v>
      </c>
      <c r="H521" s="11">
        <v>107000</v>
      </c>
      <c r="I521" s="11">
        <v>0</v>
      </c>
      <c r="J521" s="11">
        <v>0</v>
      </c>
      <c r="K521" s="11">
        <v>120500</v>
      </c>
      <c r="L521" s="11">
        <v>0</v>
      </c>
      <c r="M521" s="27">
        <f t="shared" si="71"/>
        <v>120500</v>
      </c>
      <c r="N521" s="27">
        <v>0</v>
      </c>
      <c r="O521" s="366">
        <f t="shared" si="69"/>
        <v>0.004297464118136112</v>
      </c>
    </row>
    <row r="522" spans="1:15" ht="16.5" customHeight="1">
      <c r="A522" s="26"/>
      <c r="B522" s="39" t="s">
        <v>728</v>
      </c>
      <c r="C522" s="32" t="s">
        <v>729</v>
      </c>
      <c r="D522" s="11"/>
      <c r="E522" s="11">
        <v>27615</v>
      </c>
      <c r="F522" s="11">
        <v>321</v>
      </c>
      <c r="G522" s="11">
        <v>1102</v>
      </c>
      <c r="H522" s="11">
        <v>14660</v>
      </c>
      <c r="I522" s="11">
        <v>0</v>
      </c>
      <c r="J522" s="11">
        <v>0</v>
      </c>
      <c r="K522" s="11">
        <v>17000</v>
      </c>
      <c r="L522" s="11">
        <v>0</v>
      </c>
      <c r="M522" s="27">
        <f t="shared" si="71"/>
        <v>17000</v>
      </c>
      <c r="N522" s="27">
        <v>0</v>
      </c>
      <c r="O522" s="366">
        <f t="shared" si="69"/>
        <v>0.0006062812448822731</v>
      </c>
    </row>
    <row r="523" spans="1:15" ht="15.75" customHeight="1">
      <c r="A523" s="26"/>
      <c r="B523" s="39" t="s">
        <v>711</v>
      </c>
      <c r="C523" s="32" t="s">
        <v>875</v>
      </c>
      <c r="D523" s="11"/>
      <c r="E523" s="11">
        <v>32821</v>
      </c>
      <c r="F523" s="11">
        <v>0</v>
      </c>
      <c r="G523" s="11">
        <v>0</v>
      </c>
      <c r="H523" s="10"/>
      <c r="I523" s="10"/>
      <c r="J523" s="10"/>
      <c r="K523" s="11">
        <v>2000</v>
      </c>
      <c r="L523" s="11">
        <v>0</v>
      </c>
      <c r="M523" s="27">
        <f t="shared" si="71"/>
        <v>2000</v>
      </c>
      <c r="N523" s="27">
        <v>0</v>
      </c>
      <c r="O523" s="366">
        <f t="shared" si="69"/>
        <v>7.132720528026741E-05</v>
      </c>
    </row>
    <row r="524" spans="1:15" ht="16.5" customHeight="1">
      <c r="A524" s="26"/>
      <c r="B524" s="39" t="s">
        <v>730</v>
      </c>
      <c r="C524" s="32" t="s">
        <v>872</v>
      </c>
      <c r="D524" s="11"/>
      <c r="E524" s="11">
        <v>123652</v>
      </c>
      <c r="F524" s="11">
        <v>12612</v>
      </c>
      <c r="G524" s="11">
        <v>0</v>
      </c>
      <c r="H524" s="11">
        <v>114868</v>
      </c>
      <c r="I524" s="11">
        <v>0</v>
      </c>
      <c r="J524" s="11">
        <v>0</v>
      </c>
      <c r="K524" s="11">
        <v>124644</v>
      </c>
      <c r="L524" s="11">
        <v>0</v>
      </c>
      <c r="M524" s="27">
        <f t="shared" si="71"/>
        <v>124644</v>
      </c>
      <c r="N524" s="27">
        <v>0</v>
      </c>
      <c r="O524" s="366">
        <f t="shared" si="69"/>
        <v>0.004445254087476826</v>
      </c>
    </row>
    <row r="525" spans="1:15" ht="15" customHeight="1">
      <c r="A525" s="26"/>
      <c r="B525" s="39" t="s">
        <v>820</v>
      </c>
      <c r="C525" s="32" t="s">
        <v>35</v>
      </c>
      <c r="D525" s="11"/>
      <c r="E525" s="11">
        <v>145078</v>
      </c>
      <c r="F525" s="11">
        <v>0</v>
      </c>
      <c r="G525" s="11">
        <v>20000</v>
      </c>
      <c r="H525" s="11">
        <v>57000</v>
      </c>
      <c r="I525" s="11">
        <v>0</v>
      </c>
      <c r="J525" s="11">
        <v>0</v>
      </c>
      <c r="K525" s="11">
        <v>62000</v>
      </c>
      <c r="L525" s="11">
        <v>0</v>
      </c>
      <c r="M525" s="27">
        <f t="shared" si="71"/>
        <v>62000</v>
      </c>
      <c r="N525" s="27">
        <v>0</v>
      </c>
      <c r="O525" s="366">
        <f t="shared" si="69"/>
        <v>0.00221114336368829</v>
      </c>
    </row>
    <row r="526" spans="1:15" ht="14.25" customHeight="1">
      <c r="A526" s="26"/>
      <c r="B526" s="39" t="s">
        <v>732</v>
      </c>
      <c r="C526" s="32" t="s">
        <v>824</v>
      </c>
      <c r="D526" s="11"/>
      <c r="E526" s="11">
        <v>21328</v>
      </c>
      <c r="F526" s="11">
        <v>3000</v>
      </c>
      <c r="G526" s="11">
        <v>0</v>
      </c>
      <c r="H526" s="11">
        <v>17200</v>
      </c>
      <c r="I526" s="11">
        <v>0</v>
      </c>
      <c r="J526" s="11">
        <v>0</v>
      </c>
      <c r="K526" s="11">
        <v>16400</v>
      </c>
      <c r="L526" s="11">
        <v>0</v>
      </c>
      <c r="M526" s="27">
        <f t="shared" si="71"/>
        <v>16400</v>
      </c>
      <c r="N526" s="27">
        <v>0</v>
      </c>
      <c r="O526" s="366">
        <f t="shared" si="69"/>
        <v>0.0005848830832981928</v>
      </c>
    </row>
    <row r="527" spans="1:15" ht="15.75" customHeight="1" hidden="1">
      <c r="A527" s="26"/>
      <c r="B527" s="39" t="s">
        <v>734</v>
      </c>
      <c r="C527" s="32" t="s">
        <v>735</v>
      </c>
      <c r="D527" s="11"/>
      <c r="E527" s="11"/>
      <c r="F527" s="11"/>
      <c r="G527" s="11"/>
      <c r="H527" s="11"/>
      <c r="I527" s="11"/>
      <c r="J527" s="11"/>
      <c r="K527" s="11">
        <v>0</v>
      </c>
      <c r="L527" s="11">
        <v>0</v>
      </c>
      <c r="M527" s="27">
        <f t="shared" si="71"/>
        <v>0</v>
      </c>
      <c r="N527" s="27">
        <v>0</v>
      </c>
      <c r="O527" s="366">
        <f t="shared" si="69"/>
        <v>0</v>
      </c>
    </row>
    <row r="528" spans="1:15" ht="15" customHeight="1">
      <c r="A528" s="26"/>
      <c r="B528" s="39" t="s">
        <v>736</v>
      </c>
      <c r="C528" s="32" t="s">
        <v>826</v>
      </c>
      <c r="D528" s="11"/>
      <c r="E528" s="11">
        <v>22737</v>
      </c>
      <c r="F528" s="11">
        <v>4000</v>
      </c>
      <c r="G528" s="11">
        <v>0</v>
      </c>
      <c r="H528" s="11">
        <v>27250</v>
      </c>
      <c r="I528" s="11">
        <v>0</v>
      </c>
      <c r="J528" s="11">
        <v>0</v>
      </c>
      <c r="K528" s="11">
        <v>26600</v>
      </c>
      <c r="L528" s="11">
        <v>0</v>
      </c>
      <c r="M528" s="27">
        <f t="shared" si="71"/>
        <v>26600</v>
      </c>
      <c r="N528" s="27">
        <v>0</v>
      </c>
      <c r="O528" s="366">
        <f t="shared" si="69"/>
        <v>0.0009486518302275566</v>
      </c>
    </row>
    <row r="529" spans="1:15" ht="14.25" customHeight="1">
      <c r="A529" s="26"/>
      <c r="B529" s="39" t="s">
        <v>738</v>
      </c>
      <c r="C529" s="32" t="s">
        <v>739</v>
      </c>
      <c r="D529" s="11"/>
      <c r="E529" s="11">
        <v>2384</v>
      </c>
      <c r="F529" s="11">
        <v>0</v>
      </c>
      <c r="G529" s="11">
        <v>800</v>
      </c>
      <c r="H529" s="11">
        <v>300</v>
      </c>
      <c r="I529" s="11">
        <v>0</v>
      </c>
      <c r="J529" s="11">
        <v>0</v>
      </c>
      <c r="K529" s="11">
        <v>2500</v>
      </c>
      <c r="L529" s="11">
        <v>0</v>
      </c>
      <c r="M529" s="27">
        <f t="shared" si="71"/>
        <v>2500</v>
      </c>
      <c r="N529" s="27">
        <v>0</v>
      </c>
      <c r="O529" s="366">
        <f t="shared" si="69"/>
        <v>8.915900660033427E-05</v>
      </c>
    </row>
    <row r="530" spans="1:15" ht="14.25" customHeight="1">
      <c r="A530" s="26"/>
      <c r="B530" s="39" t="s">
        <v>740</v>
      </c>
      <c r="C530" s="32" t="s">
        <v>741</v>
      </c>
      <c r="D530" s="11"/>
      <c r="E530" s="11"/>
      <c r="F530" s="11"/>
      <c r="G530" s="11"/>
      <c r="H530" s="11"/>
      <c r="I530" s="11"/>
      <c r="J530" s="11"/>
      <c r="K530" s="11">
        <v>1000</v>
      </c>
      <c r="L530" s="11">
        <v>0</v>
      </c>
      <c r="M530" s="27">
        <f t="shared" si="71"/>
        <v>1000</v>
      </c>
      <c r="N530" s="27">
        <v>0</v>
      </c>
      <c r="O530" s="366">
        <f t="shared" si="69"/>
        <v>3.5663602640133705E-05</v>
      </c>
    </row>
    <row r="531" spans="1:15" ht="13.5" customHeight="1">
      <c r="A531" s="26"/>
      <c r="B531" s="39" t="s">
        <v>742</v>
      </c>
      <c r="C531" s="32" t="s">
        <v>743</v>
      </c>
      <c r="D531" s="11"/>
      <c r="E531" s="11">
        <v>79227</v>
      </c>
      <c r="F531" s="11">
        <v>0</v>
      </c>
      <c r="G531" s="11">
        <v>0</v>
      </c>
      <c r="H531" s="11">
        <v>31503</v>
      </c>
      <c r="I531" s="11">
        <v>0</v>
      </c>
      <c r="J531" s="11">
        <v>0</v>
      </c>
      <c r="K531" s="11">
        <v>33920</v>
      </c>
      <c r="L531" s="11">
        <v>0</v>
      </c>
      <c r="M531" s="27">
        <f t="shared" si="71"/>
        <v>33920</v>
      </c>
      <c r="N531" s="27">
        <v>0</v>
      </c>
      <c r="O531" s="366">
        <f t="shared" si="69"/>
        <v>0.0012097094015533353</v>
      </c>
    </row>
    <row r="532" spans="1:15" ht="17.25" customHeight="1" hidden="1">
      <c r="A532" s="26"/>
      <c r="B532" s="26" t="s">
        <v>760</v>
      </c>
      <c r="C532" s="14" t="s">
        <v>58</v>
      </c>
      <c r="D532" s="11">
        <v>405109</v>
      </c>
      <c r="E532" s="11"/>
      <c r="F532" s="11"/>
      <c r="G532" s="11"/>
      <c r="H532" s="11">
        <v>0</v>
      </c>
      <c r="I532" s="11">
        <v>0</v>
      </c>
      <c r="J532" s="11">
        <v>0</v>
      </c>
      <c r="K532" s="11"/>
      <c r="L532" s="11">
        <v>0</v>
      </c>
      <c r="M532" s="27" t="e">
        <f>#REF!</f>
        <v>#REF!</v>
      </c>
      <c r="N532" s="27">
        <v>0</v>
      </c>
      <c r="O532" s="366">
        <f t="shared" si="69"/>
        <v>0</v>
      </c>
    </row>
    <row r="533" spans="1:15" ht="15.75" customHeight="1" hidden="1">
      <c r="A533" s="26"/>
      <c r="B533" s="26" t="s">
        <v>762</v>
      </c>
      <c r="C533" s="14" t="s">
        <v>584</v>
      </c>
      <c r="D533" s="11"/>
      <c r="E533" s="11">
        <v>277</v>
      </c>
      <c r="F533" s="11">
        <v>0</v>
      </c>
      <c r="G533" s="11">
        <v>0</v>
      </c>
      <c r="H533" s="11"/>
      <c r="I533" s="11"/>
      <c r="J533" s="11"/>
      <c r="K533" s="11">
        <v>0</v>
      </c>
      <c r="L533" s="11">
        <v>0</v>
      </c>
      <c r="M533" s="27">
        <f>K533</f>
        <v>0</v>
      </c>
      <c r="N533" s="27">
        <v>0</v>
      </c>
      <c r="O533" s="366">
        <f t="shared" si="69"/>
        <v>0</v>
      </c>
    </row>
    <row r="534" spans="1:15" ht="15.75" customHeight="1">
      <c r="A534" s="29" t="s">
        <v>60</v>
      </c>
      <c r="B534" s="26"/>
      <c r="C534" s="7" t="s">
        <v>61</v>
      </c>
      <c r="D534" s="10">
        <f>D535+D536+D537+D547</f>
        <v>506163</v>
      </c>
      <c r="E534" s="10" t="e">
        <f>E535+E536+E537+E538+E540+E541+E542+E543+#REF!+E544+E546+E547+E548</f>
        <v>#REF!</v>
      </c>
      <c r="F534" s="10" t="e">
        <f>F535+F536+F537+F538+F540+F541+F542+F543+#REF!+F544+F546+F547+F548</f>
        <v>#REF!</v>
      </c>
      <c r="G534" s="10" t="e">
        <f>G535+G536+G537+G538+G540+G541+G542+G543+#REF!+G544+G546+G547+G548</f>
        <v>#REF!</v>
      </c>
      <c r="H534" s="10">
        <f>H535+H536+H537+H538+H540+H541+H542+H543+H544+H546+H547+H548+H549</f>
        <v>366668</v>
      </c>
      <c r="I534" s="10">
        <f>I535+I536+I537+I538+I540+I541+I542+I543+I544+I546+I547+I548+I549</f>
        <v>0</v>
      </c>
      <c r="J534" s="10">
        <f>J535+J536+J537+J538+J540+J541+J542+J543+J544+J546+J547+J548+J549</f>
        <v>0</v>
      </c>
      <c r="K534" s="10">
        <f>K535+K536+K537+K538+K539+K540+K541+K542+K543+K544+K545+K546+K547+K548+K549</f>
        <v>410000</v>
      </c>
      <c r="L534" s="10">
        <f>L535+L536+L537+L538+L539+L540+L541+L542+L543+L544+L545+L546+L547+L548+L549</f>
        <v>0</v>
      </c>
      <c r="M534" s="10">
        <f>M535+M536+M537+M538+M539+M540+M541+M542+M543+M544+M545+M546+M547+M548+M549</f>
        <v>410000</v>
      </c>
      <c r="N534" s="10">
        <f>N535+N536+N537+N538+N539+N540+N541+N542+N543+N544+N545+N546+N547+N548+N549</f>
        <v>0</v>
      </c>
      <c r="O534" s="366">
        <f t="shared" si="69"/>
        <v>0.01462207708245482</v>
      </c>
    </row>
    <row r="535" spans="1:15" ht="16.5" customHeight="1">
      <c r="A535" s="26"/>
      <c r="B535" s="26" t="s">
        <v>720</v>
      </c>
      <c r="C535" s="32" t="s">
        <v>585</v>
      </c>
      <c r="D535" s="11">
        <v>338872</v>
      </c>
      <c r="E535" s="11">
        <v>347249</v>
      </c>
      <c r="F535" s="11">
        <v>4011</v>
      </c>
      <c r="G535" s="11">
        <v>5633</v>
      </c>
      <c r="H535" s="23">
        <v>240145</v>
      </c>
      <c r="I535" s="23">
        <v>0</v>
      </c>
      <c r="J535" s="23">
        <v>0</v>
      </c>
      <c r="K535" s="11">
        <v>279632</v>
      </c>
      <c r="L535" s="11">
        <v>0</v>
      </c>
      <c r="M535" s="27">
        <f>K535</f>
        <v>279632</v>
      </c>
      <c r="N535" s="27">
        <v>0</v>
      </c>
      <c r="O535" s="366">
        <f t="shared" si="69"/>
        <v>0.00997268453346587</v>
      </c>
    </row>
    <row r="536" spans="1:15" ht="16.5" customHeight="1">
      <c r="A536" s="26"/>
      <c r="B536" s="26" t="s">
        <v>724</v>
      </c>
      <c r="C536" s="32" t="s">
        <v>725</v>
      </c>
      <c r="D536" s="11">
        <v>22404</v>
      </c>
      <c r="E536" s="11">
        <v>26837</v>
      </c>
      <c r="F536" s="11">
        <v>0</v>
      </c>
      <c r="G536" s="11">
        <v>0</v>
      </c>
      <c r="H536" s="11">
        <v>17713</v>
      </c>
      <c r="I536" s="11">
        <v>0</v>
      </c>
      <c r="J536" s="11">
        <v>0</v>
      </c>
      <c r="K536" s="11">
        <v>22265</v>
      </c>
      <c r="L536" s="11">
        <v>0</v>
      </c>
      <c r="M536" s="27">
        <f aca="true" t="shared" si="72" ref="M536:M549">K536</f>
        <v>22265</v>
      </c>
      <c r="N536" s="27">
        <v>0</v>
      </c>
      <c r="O536" s="366">
        <f t="shared" si="69"/>
        <v>0.000794050112782577</v>
      </c>
    </row>
    <row r="537" spans="1:15" ht="15" customHeight="1">
      <c r="A537" s="26"/>
      <c r="B537" s="39" t="s">
        <v>777</v>
      </c>
      <c r="C537" s="32" t="s">
        <v>793</v>
      </c>
      <c r="D537" s="11">
        <v>73812</v>
      </c>
      <c r="E537" s="11">
        <v>65930</v>
      </c>
      <c r="F537" s="11">
        <v>360</v>
      </c>
      <c r="G537" s="11">
        <v>1005</v>
      </c>
      <c r="H537" s="11">
        <v>45324</v>
      </c>
      <c r="I537" s="11">
        <v>0</v>
      </c>
      <c r="J537" s="11">
        <v>0</v>
      </c>
      <c r="K537" s="11">
        <v>53526</v>
      </c>
      <c r="L537" s="11">
        <v>0</v>
      </c>
      <c r="M537" s="27">
        <f t="shared" si="72"/>
        <v>53526</v>
      </c>
      <c r="N537" s="27">
        <v>0</v>
      </c>
      <c r="O537" s="366">
        <f aca="true" t="shared" si="73" ref="O537:O571">K537/$K$606</f>
        <v>0.0019089299949157968</v>
      </c>
    </row>
    <row r="538" spans="1:15" ht="14.25" customHeight="1">
      <c r="A538" s="26"/>
      <c r="B538" s="39" t="s">
        <v>728</v>
      </c>
      <c r="C538" s="32" t="s">
        <v>729</v>
      </c>
      <c r="D538" s="11"/>
      <c r="E538" s="11">
        <v>9068</v>
      </c>
      <c r="F538" s="11">
        <v>49</v>
      </c>
      <c r="G538" s="11">
        <v>138</v>
      </c>
      <c r="H538" s="11">
        <v>6263</v>
      </c>
      <c r="I538" s="11">
        <v>0</v>
      </c>
      <c r="J538" s="11">
        <v>0</v>
      </c>
      <c r="K538" s="11">
        <v>7397</v>
      </c>
      <c r="L538" s="11">
        <v>0</v>
      </c>
      <c r="M538" s="27">
        <f t="shared" si="72"/>
        <v>7397</v>
      </c>
      <c r="N538" s="27">
        <v>0</v>
      </c>
      <c r="O538" s="366">
        <f t="shared" si="73"/>
        <v>0.00026380366872906904</v>
      </c>
    </row>
    <row r="539" spans="1:15" ht="14.25" customHeight="1">
      <c r="A539" s="26"/>
      <c r="B539" s="39" t="s">
        <v>459</v>
      </c>
      <c r="C539" s="32" t="s">
        <v>460</v>
      </c>
      <c r="D539" s="11"/>
      <c r="E539" s="11"/>
      <c r="F539" s="11"/>
      <c r="G539" s="11"/>
      <c r="H539" s="11"/>
      <c r="I539" s="11"/>
      <c r="J539" s="11"/>
      <c r="K539" s="11">
        <v>500</v>
      </c>
      <c r="L539" s="11">
        <v>0</v>
      </c>
      <c r="M539" s="27">
        <f>K539</f>
        <v>500</v>
      </c>
      <c r="N539" s="27">
        <v>0</v>
      </c>
      <c r="O539" s="366">
        <f>K539/$K$606</f>
        <v>1.7831801320066853E-05</v>
      </c>
    </row>
    <row r="540" spans="1:15" ht="15.75" customHeight="1">
      <c r="A540" s="26"/>
      <c r="B540" s="39" t="s">
        <v>711</v>
      </c>
      <c r="C540" s="32" t="s">
        <v>875</v>
      </c>
      <c r="D540" s="11"/>
      <c r="E540" s="11">
        <v>4293</v>
      </c>
      <c r="F540" s="11">
        <v>0</v>
      </c>
      <c r="G540" s="11">
        <v>0</v>
      </c>
      <c r="H540" s="11">
        <v>3580</v>
      </c>
      <c r="I540" s="11">
        <v>0</v>
      </c>
      <c r="J540" s="11">
        <v>0</v>
      </c>
      <c r="K540" s="11">
        <v>1200</v>
      </c>
      <c r="L540" s="11">
        <v>0</v>
      </c>
      <c r="M540" s="27">
        <f t="shared" si="72"/>
        <v>1200</v>
      </c>
      <c r="N540" s="27">
        <v>0</v>
      </c>
      <c r="O540" s="366">
        <f t="shared" si="73"/>
        <v>4.2796323168160447E-05</v>
      </c>
    </row>
    <row r="541" spans="1:15" ht="15.75" customHeight="1">
      <c r="A541" s="26"/>
      <c r="B541" s="39" t="s">
        <v>730</v>
      </c>
      <c r="C541" s="32" t="s">
        <v>872</v>
      </c>
      <c r="D541" s="11"/>
      <c r="E541" s="11">
        <v>17339</v>
      </c>
      <c r="F541" s="11">
        <v>5526</v>
      </c>
      <c r="G541" s="11">
        <v>0</v>
      </c>
      <c r="H541" s="11">
        <v>25571</v>
      </c>
      <c r="I541" s="11">
        <v>0</v>
      </c>
      <c r="J541" s="11">
        <v>0</v>
      </c>
      <c r="K541" s="11">
        <v>14755</v>
      </c>
      <c r="L541" s="11">
        <v>0</v>
      </c>
      <c r="M541" s="27">
        <f t="shared" si="72"/>
        <v>14755</v>
      </c>
      <c r="N541" s="27">
        <v>0</v>
      </c>
      <c r="O541" s="366">
        <f t="shared" si="73"/>
        <v>0.0005262164569551728</v>
      </c>
    </row>
    <row r="542" spans="1:15" ht="15" customHeight="1">
      <c r="A542" s="26"/>
      <c r="B542" s="39" t="s">
        <v>865</v>
      </c>
      <c r="C542" s="32" t="s">
        <v>36</v>
      </c>
      <c r="D542" s="11"/>
      <c r="E542" s="11">
        <v>4149</v>
      </c>
      <c r="F542" s="11">
        <v>0</v>
      </c>
      <c r="G542" s="11">
        <v>0</v>
      </c>
      <c r="H542" s="11">
        <v>1500</v>
      </c>
      <c r="I542" s="11">
        <v>0</v>
      </c>
      <c r="J542" s="11">
        <v>0</v>
      </c>
      <c r="K542" s="11">
        <v>1500</v>
      </c>
      <c r="L542" s="11">
        <v>0</v>
      </c>
      <c r="M542" s="27">
        <f t="shared" si="72"/>
        <v>1500</v>
      </c>
      <c r="N542" s="27">
        <v>0</v>
      </c>
      <c r="O542" s="366">
        <f t="shared" si="73"/>
        <v>5.349540396020056E-05</v>
      </c>
    </row>
    <row r="543" spans="1:15" ht="15.75" customHeight="1">
      <c r="A543" s="26"/>
      <c r="B543" s="39" t="s">
        <v>732</v>
      </c>
      <c r="C543" s="32" t="s">
        <v>824</v>
      </c>
      <c r="D543" s="11"/>
      <c r="E543" s="11">
        <v>4365</v>
      </c>
      <c r="F543" s="11">
        <v>350</v>
      </c>
      <c r="G543" s="11">
        <v>0</v>
      </c>
      <c r="H543" s="11">
        <v>3966</v>
      </c>
      <c r="I543" s="11">
        <v>0</v>
      </c>
      <c r="J543" s="11">
        <v>0</v>
      </c>
      <c r="K543" s="11">
        <v>3900</v>
      </c>
      <c r="L543" s="11">
        <v>0</v>
      </c>
      <c r="M543" s="27">
        <f t="shared" si="72"/>
        <v>3900</v>
      </c>
      <c r="N543" s="27">
        <v>0</v>
      </c>
      <c r="O543" s="366">
        <f t="shared" si="73"/>
        <v>0.00013908805029652144</v>
      </c>
    </row>
    <row r="544" spans="1:15" ht="15" customHeight="1">
      <c r="A544" s="26"/>
      <c r="B544" s="39" t="s">
        <v>736</v>
      </c>
      <c r="C544" s="32" t="s">
        <v>826</v>
      </c>
      <c r="D544" s="11"/>
      <c r="E544" s="11">
        <v>6136</v>
      </c>
      <c r="F544" s="11">
        <v>800</v>
      </c>
      <c r="G544" s="11">
        <v>0</v>
      </c>
      <c r="H544" s="11">
        <v>6503</v>
      </c>
      <c r="I544" s="11">
        <v>0</v>
      </c>
      <c r="J544" s="11">
        <v>0</v>
      </c>
      <c r="K544" s="11">
        <v>5000</v>
      </c>
      <c r="L544" s="11">
        <v>0</v>
      </c>
      <c r="M544" s="27">
        <f t="shared" si="72"/>
        <v>5000</v>
      </c>
      <c r="N544" s="27">
        <v>0</v>
      </c>
      <c r="O544" s="366">
        <f t="shared" si="73"/>
        <v>0.00017831801320066854</v>
      </c>
    </row>
    <row r="545" spans="1:15" ht="15" customHeight="1">
      <c r="A545" s="26"/>
      <c r="B545" s="39" t="s">
        <v>461</v>
      </c>
      <c r="C545" s="32" t="s">
        <v>258</v>
      </c>
      <c r="D545" s="11"/>
      <c r="E545" s="11"/>
      <c r="F545" s="11"/>
      <c r="G545" s="11"/>
      <c r="H545" s="11"/>
      <c r="I545" s="11"/>
      <c r="J545" s="11"/>
      <c r="K545" s="11">
        <v>2300</v>
      </c>
      <c r="L545" s="11">
        <v>0</v>
      </c>
      <c r="M545" s="27">
        <f>K545</f>
        <v>2300</v>
      </c>
      <c r="N545" s="27">
        <v>0</v>
      </c>
      <c r="O545" s="366">
        <f>K545/$K$606</f>
        <v>8.202628607230753E-05</v>
      </c>
    </row>
    <row r="546" spans="1:15" ht="16.5" customHeight="1">
      <c r="A546" s="26"/>
      <c r="B546" s="39" t="s">
        <v>738</v>
      </c>
      <c r="C546" s="32" t="s">
        <v>739</v>
      </c>
      <c r="D546" s="11"/>
      <c r="E546" s="11">
        <v>1250</v>
      </c>
      <c r="F546" s="11">
        <v>100</v>
      </c>
      <c r="G546" s="11">
        <v>0</v>
      </c>
      <c r="H546" s="11">
        <v>2500</v>
      </c>
      <c r="I546" s="11">
        <v>0</v>
      </c>
      <c r="J546" s="11">
        <v>0</v>
      </c>
      <c r="K546" s="11">
        <v>2000</v>
      </c>
      <c r="L546" s="11">
        <v>0</v>
      </c>
      <c r="M546" s="27">
        <f t="shared" si="72"/>
        <v>2000</v>
      </c>
      <c r="N546" s="27">
        <v>0</v>
      </c>
      <c r="O546" s="366">
        <f t="shared" si="73"/>
        <v>7.132720528026741E-05</v>
      </c>
    </row>
    <row r="547" spans="1:15" ht="16.5" customHeight="1">
      <c r="A547" s="26"/>
      <c r="B547" s="26" t="s">
        <v>740</v>
      </c>
      <c r="C547" s="14" t="s">
        <v>741</v>
      </c>
      <c r="D547" s="11">
        <v>71075</v>
      </c>
      <c r="E547" s="11">
        <v>479</v>
      </c>
      <c r="F547" s="11">
        <v>0</v>
      </c>
      <c r="G547" s="11">
        <v>0</v>
      </c>
      <c r="H547" s="11">
        <v>586</v>
      </c>
      <c r="I547" s="11">
        <v>0</v>
      </c>
      <c r="J547" s="11">
        <v>0</v>
      </c>
      <c r="K547" s="11">
        <v>0</v>
      </c>
      <c r="L547" s="11">
        <v>0</v>
      </c>
      <c r="M547" s="27">
        <f t="shared" si="72"/>
        <v>0</v>
      </c>
      <c r="N547" s="27">
        <v>0</v>
      </c>
      <c r="O547" s="366">
        <f t="shared" si="73"/>
        <v>0</v>
      </c>
    </row>
    <row r="548" spans="1:15" ht="15.75" customHeight="1">
      <c r="A548" s="26"/>
      <c r="B548" s="26" t="s">
        <v>742</v>
      </c>
      <c r="C548" s="14" t="s">
        <v>743</v>
      </c>
      <c r="D548" s="11"/>
      <c r="E548" s="11">
        <v>21517</v>
      </c>
      <c r="F548" s="11">
        <v>0</v>
      </c>
      <c r="G548" s="11">
        <v>0</v>
      </c>
      <c r="H548" s="11">
        <v>11800</v>
      </c>
      <c r="I548" s="11">
        <v>0</v>
      </c>
      <c r="J548" s="11">
        <v>0</v>
      </c>
      <c r="K548" s="11">
        <v>14922</v>
      </c>
      <c r="L548" s="11">
        <v>0</v>
      </c>
      <c r="M548" s="27">
        <f t="shared" si="72"/>
        <v>14922</v>
      </c>
      <c r="N548" s="27">
        <v>0</v>
      </c>
      <c r="O548" s="366">
        <f t="shared" si="73"/>
        <v>0.0005321722785960752</v>
      </c>
    </row>
    <row r="549" spans="1:15" ht="15" customHeight="1">
      <c r="A549" s="26"/>
      <c r="B549" s="26" t="s">
        <v>758</v>
      </c>
      <c r="C549" s="14" t="s">
        <v>759</v>
      </c>
      <c r="D549" s="11"/>
      <c r="E549" s="11"/>
      <c r="F549" s="11"/>
      <c r="G549" s="11"/>
      <c r="H549" s="11">
        <v>1217</v>
      </c>
      <c r="I549" s="11">
        <v>0</v>
      </c>
      <c r="J549" s="11">
        <v>0</v>
      </c>
      <c r="K549" s="11">
        <v>1103</v>
      </c>
      <c r="L549" s="11">
        <v>0</v>
      </c>
      <c r="M549" s="27">
        <f t="shared" si="72"/>
        <v>1103</v>
      </c>
      <c r="N549" s="27">
        <v>0</v>
      </c>
      <c r="O549" s="366">
        <f t="shared" si="73"/>
        <v>3.933695371206748E-05</v>
      </c>
    </row>
    <row r="550" spans="1:15" ht="15.75" customHeight="1">
      <c r="A550" s="29" t="s">
        <v>62</v>
      </c>
      <c r="B550" s="29"/>
      <c r="C550" s="7" t="s">
        <v>63</v>
      </c>
      <c r="D550" s="10">
        <f>D551+D552+D553+D564+D565</f>
        <v>1352143</v>
      </c>
      <c r="E550" s="10">
        <f>E551+E552+E553+E554+E556+E557+E558+E559+E560+E561+E562+E564+E563</f>
        <v>1297440</v>
      </c>
      <c r="F550" s="10">
        <f>F551+F552+F553+F554+F556+F557+F558+F559+F560+F561+F562+F564+F563</f>
        <v>12761</v>
      </c>
      <c r="G550" s="10">
        <f>G551+G552+G553+G554+G556+G557+G558+G559+G560+G561+G562+G564+G563</f>
        <v>11333</v>
      </c>
      <c r="H550" s="10" t="e">
        <f>H551+H552+H553+H554+H556+H567+H568+H569+H570+H571+H573+#REF!</f>
        <v>#REF!</v>
      </c>
      <c r="I550" s="10">
        <f>I551+I552+I553+I554+I556+I567+I568+I569+I570+I571+I573</f>
        <v>0</v>
      </c>
      <c r="J550" s="10">
        <f>J551+J552+J553+J554+J556+J567+J568+J569+J570+J571+J573</f>
        <v>0</v>
      </c>
      <c r="K550" s="10">
        <f>K551+K552+K553+K554+K555+K556+K567+K568+K569+K570+K571+K573+K574+K575</f>
        <v>1579736</v>
      </c>
      <c r="L550" s="10">
        <f>L551+L552+L553+L554+L555+L556+L567+L568+L569+L570+L571+L573+L574+L575</f>
        <v>0</v>
      </c>
      <c r="M550" s="10">
        <f>M551+M552+M553+M554+M555+M556+M567+M568+M569+M570+M571+M573+M574+M575</f>
        <v>1579736</v>
      </c>
      <c r="N550" s="10">
        <f>N551+N552+N553+N554+N555+N556+N567+N568+N569+N570+N571+N573+N574+N575</f>
        <v>0</v>
      </c>
      <c r="O550" s="366">
        <f t="shared" si="73"/>
        <v>0.05633907698031426</v>
      </c>
    </row>
    <row r="551" spans="1:15" ht="17.25" customHeight="1">
      <c r="A551" s="26"/>
      <c r="B551" s="26" t="s">
        <v>720</v>
      </c>
      <c r="C551" s="14" t="s">
        <v>721</v>
      </c>
      <c r="D551" s="11">
        <v>760149</v>
      </c>
      <c r="E551" s="11">
        <v>761652</v>
      </c>
      <c r="F551" s="11">
        <v>1187</v>
      </c>
      <c r="G551" s="11">
        <v>0</v>
      </c>
      <c r="H551" s="11">
        <v>374354</v>
      </c>
      <c r="I551" s="11">
        <v>0</v>
      </c>
      <c r="J551" s="11">
        <v>0</v>
      </c>
      <c r="K551" s="11">
        <v>460522</v>
      </c>
      <c r="L551" s="11">
        <v>0</v>
      </c>
      <c r="M551" s="27">
        <f>K551</f>
        <v>460522</v>
      </c>
      <c r="N551" s="27">
        <v>0</v>
      </c>
      <c r="O551" s="366">
        <f t="shared" si="73"/>
        <v>0.016423873615039657</v>
      </c>
    </row>
    <row r="552" spans="1:15" ht="15" customHeight="1">
      <c r="A552" s="26"/>
      <c r="B552" s="26" t="s">
        <v>724</v>
      </c>
      <c r="C552" s="14" t="s">
        <v>725</v>
      </c>
      <c r="D552" s="11">
        <v>56427</v>
      </c>
      <c r="E552" s="11">
        <v>62354</v>
      </c>
      <c r="F552" s="11">
        <v>0</v>
      </c>
      <c r="G552" s="11">
        <v>0</v>
      </c>
      <c r="H552" s="23">
        <v>32155</v>
      </c>
      <c r="I552" s="23">
        <v>0</v>
      </c>
      <c r="J552" s="23">
        <v>0</v>
      </c>
      <c r="K552" s="11">
        <v>36305</v>
      </c>
      <c r="L552" s="11">
        <v>0</v>
      </c>
      <c r="M552" s="27">
        <f aca="true" t="shared" si="74" ref="M552:M573">K552</f>
        <v>36305</v>
      </c>
      <c r="N552" s="27">
        <v>0</v>
      </c>
      <c r="O552" s="366">
        <f t="shared" si="73"/>
        <v>0.0012947670938500543</v>
      </c>
    </row>
    <row r="553" spans="1:15" ht="14.25" customHeight="1">
      <c r="A553" s="26"/>
      <c r="B553" s="39" t="s">
        <v>777</v>
      </c>
      <c r="C553" s="14" t="s">
        <v>754</v>
      </c>
      <c r="D553" s="11">
        <v>162435</v>
      </c>
      <c r="E553" s="11">
        <v>143919</v>
      </c>
      <c r="F553" s="11">
        <v>212</v>
      </c>
      <c r="G553" s="11">
        <v>0</v>
      </c>
      <c r="H553" s="23">
        <v>69400</v>
      </c>
      <c r="I553" s="23">
        <v>0</v>
      </c>
      <c r="J553" s="23">
        <v>0</v>
      </c>
      <c r="K553" s="11">
        <v>86157</v>
      </c>
      <c r="L553" s="11">
        <v>0</v>
      </c>
      <c r="M553" s="27">
        <f t="shared" si="74"/>
        <v>86157</v>
      </c>
      <c r="N553" s="27">
        <v>0</v>
      </c>
      <c r="O553" s="366">
        <f t="shared" si="73"/>
        <v>0.003072669012666</v>
      </c>
    </row>
    <row r="554" spans="1:15" ht="13.5" customHeight="1">
      <c r="A554" s="26"/>
      <c r="B554" s="39" t="s">
        <v>728</v>
      </c>
      <c r="C554" s="14" t="s">
        <v>729</v>
      </c>
      <c r="D554" s="11"/>
      <c r="E554" s="11">
        <v>19637</v>
      </c>
      <c r="F554" s="11">
        <v>29</v>
      </c>
      <c r="G554" s="11">
        <v>0</v>
      </c>
      <c r="H554" s="23">
        <v>9470</v>
      </c>
      <c r="I554" s="23">
        <v>0</v>
      </c>
      <c r="J554" s="23">
        <v>0</v>
      </c>
      <c r="K554" s="11">
        <v>11954</v>
      </c>
      <c r="L554" s="11">
        <v>0</v>
      </c>
      <c r="M554" s="27">
        <f t="shared" si="74"/>
        <v>11954</v>
      </c>
      <c r="N554" s="27">
        <v>0</v>
      </c>
      <c r="O554" s="366">
        <f t="shared" si="73"/>
        <v>0.00042632270596015836</v>
      </c>
    </row>
    <row r="555" spans="1:15" ht="13.5" customHeight="1">
      <c r="A555" s="26"/>
      <c r="B555" s="39" t="s">
        <v>459</v>
      </c>
      <c r="C555" s="14" t="s">
        <v>460</v>
      </c>
      <c r="D555" s="11"/>
      <c r="E555" s="11"/>
      <c r="F555" s="11"/>
      <c r="G555" s="11"/>
      <c r="H555" s="23"/>
      <c r="I555" s="23"/>
      <c r="J555" s="23"/>
      <c r="K555" s="11">
        <v>8804</v>
      </c>
      <c r="L555" s="11">
        <v>0</v>
      </c>
      <c r="M555" s="27">
        <f>K555</f>
        <v>8804</v>
      </c>
      <c r="N555" s="27">
        <v>0</v>
      </c>
      <c r="O555" s="366">
        <f>K555/$K$606</f>
        <v>0.00031398235764373714</v>
      </c>
    </row>
    <row r="556" spans="1:15" ht="15.75" customHeight="1">
      <c r="A556" s="26"/>
      <c r="B556" s="39" t="s">
        <v>711</v>
      </c>
      <c r="C556" s="14" t="s">
        <v>875</v>
      </c>
      <c r="D556" s="11"/>
      <c r="E556" s="11">
        <v>1600</v>
      </c>
      <c r="F556" s="11">
        <v>0</v>
      </c>
      <c r="G556" s="11">
        <v>140</v>
      </c>
      <c r="H556" s="23">
        <v>2734</v>
      </c>
      <c r="I556" s="23">
        <v>0</v>
      </c>
      <c r="J556" s="23">
        <v>0</v>
      </c>
      <c r="K556" s="11">
        <v>500</v>
      </c>
      <c r="L556" s="11">
        <v>0</v>
      </c>
      <c r="M556" s="27">
        <f t="shared" si="74"/>
        <v>500</v>
      </c>
      <c r="N556" s="27">
        <v>0</v>
      </c>
      <c r="O556" s="366">
        <f t="shared" si="73"/>
        <v>1.7831801320066853E-05</v>
      </c>
    </row>
    <row r="557" spans="1:15" ht="18" customHeight="1" hidden="1">
      <c r="A557" s="26"/>
      <c r="B557" s="39" t="s">
        <v>711</v>
      </c>
      <c r="C557" s="14" t="s">
        <v>21</v>
      </c>
      <c r="D557" s="11"/>
      <c r="E557" s="11">
        <v>6404</v>
      </c>
      <c r="F557" s="11">
        <v>0</v>
      </c>
      <c r="G557" s="11">
        <v>357</v>
      </c>
      <c r="H557" s="23"/>
      <c r="I557" s="23"/>
      <c r="J557" s="23"/>
      <c r="K557" s="11"/>
      <c r="L557" s="11">
        <v>0</v>
      </c>
      <c r="M557" s="27">
        <f t="shared" si="74"/>
        <v>0</v>
      </c>
      <c r="N557" s="27">
        <v>0</v>
      </c>
      <c r="O557" s="366">
        <f t="shared" si="73"/>
        <v>0</v>
      </c>
    </row>
    <row r="558" spans="1:15" ht="18.75" customHeight="1" hidden="1">
      <c r="A558" s="26"/>
      <c r="B558" s="39" t="s">
        <v>730</v>
      </c>
      <c r="C558" s="14" t="s">
        <v>872</v>
      </c>
      <c r="D558" s="11"/>
      <c r="E558" s="11">
        <v>142200</v>
      </c>
      <c r="F558" s="11">
        <v>10663</v>
      </c>
      <c r="G558" s="11">
        <v>0</v>
      </c>
      <c r="H558" s="23"/>
      <c r="I558" s="23"/>
      <c r="J558" s="23"/>
      <c r="K558" s="11"/>
      <c r="L558" s="11">
        <v>0</v>
      </c>
      <c r="M558" s="27">
        <f t="shared" si="74"/>
        <v>0</v>
      </c>
      <c r="N558" s="27">
        <v>0</v>
      </c>
      <c r="O558" s="366">
        <f t="shared" si="73"/>
        <v>0</v>
      </c>
    </row>
    <row r="559" spans="1:15" ht="15.75" customHeight="1" hidden="1">
      <c r="A559" s="26"/>
      <c r="B559" s="39" t="s">
        <v>732</v>
      </c>
      <c r="C559" s="14" t="s">
        <v>824</v>
      </c>
      <c r="D559" s="11"/>
      <c r="E559" s="11">
        <v>85706</v>
      </c>
      <c r="F559" s="11">
        <v>0</v>
      </c>
      <c r="G559" s="11">
        <v>4000</v>
      </c>
      <c r="H559" s="23"/>
      <c r="I559" s="23"/>
      <c r="J559" s="23"/>
      <c r="K559" s="11"/>
      <c r="L559" s="11">
        <v>0</v>
      </c>
      <c r="M559" s="27">
        <f t="shared" si="74"/>
        <v>0</v>
      </c>
      <c r="N559" s="27">
        <v>0</v>
      </c>
      <c r="O559" s="366">
        <f t="shared" si="73"/>
        <v>0</v>
      </c>
    </row>
    <row r="560" spans="1:15" ht="15" customHeight="1" hidden="1">
      <c r="A560" s="26"/>
      <c r="B560" s="39" t="s">
        <v>734</v>
      </c>
      <c r="C560" s="14" t="s">
        <v>735</v>
      </c>
      <c r="D560" s="11"/>
      <c r="E560" s="11">
        <v>1000</v>
      </c>
      <c r="F560" s="11">
        <v>0</v>
      </c>
      <c r="G560" s="11">
        <v>1000</v>
      </c>
      <c r="H560" s="23"/>
      <c r="I560" s="23"/>
      <c r="J560" s="23"/>
      <c r="K560" s="11"/>
      <c r="L560" s="11">
        <v>0</v>
      </c>
      <c r="M560" s="27">
        <f t="shared" si="74"/>
        <v>0</v>
      </c>
      <c r="N560" s="27">
        <v>0</v>
      </c>
      <c r="O560" s="366">
        <f t="shared" si="73"/>
        <v>0</v>
      </c>
    </row>
    <row r="561" spans="1:15" ht="14.25" customHeight="1" hidden="1">
      <c r="A561" s="26"/>
      <c r="B561" s="39" t="s">
        <v>736</v>
      </c>
      <c r="C561" s="14" t="s">
        <v>826</v>
      </c>
      <c r="D561" s="11"/>
      <c r="E561" s="11">
        <v>27769</v>
      </c>
      <c r="F561" s="11">
        <v>0</v>
      </c>
      <c r="G561" s="11">
        <v>3670</v>
      </c>
      <c r="H561" s="23"/>
      <c r="I561" s="23"/>
      <c r="J561" s="23"/>
      <c r="K561" s="11"/>
      <c r="L561" s="11">
        <v>0</v>
      </c>
      <c r="M561" s="27">
        <f t="shared" si="74"/>
        <v>0</v>
      </c>
      <c r="N561" s="27">
        <v>0</v>
      </c>
      <c r="O561" s="366">
        <f t="shared" si="73"/>
        <v>0</v>
      </c>
    </row>
    <row r="562" spans="1:15" ht="15" customHeight="1" hidden="1">
      <c r="A562" s="26"/>
      <c r="B562" s="39" t="s">
        <v>738</v>
      </c>
      <c r="C562" s="14" t="s">
        <v>739</v>
      </c>
      <c r="D562" s="11"/>
      <c r="E562" s="11">
        <v>272</v>
      </c>
      <c r="F562" s="11">
        <v>0</v>
      </c>
      <c r="G562" s="11">
        <v>100</v>
      </c>
      <c r="H562" s="23"/>
      <c r="I562" s="23"/>
      <c r="J562" s="23"/>
      <c r="K562" s="11"/>
      <c r="L562" s="11">
        <v>0</v>
      </c>
      <c r="M562" s="27">
        <f t="shared" si="74"/>
        <v>0</v>
      </c>
      <c r="N562" s="27">
        <v>0</v>
      </c>
      <c r="O562" s="366">
        <f t="shared" si="73"/>
        <v>0</v>
      </c>
    </row>
    <row r="563" spans="1:15" ht="12.75" customHeight="1" hidden="1">
      <c r="A563" s="26"/>
      <c r="B563" s="39" t="s">
        <v>740</v>
      </c>
      <c r="C563" s="14" t="s">
        <v>741</v>
      </c>
      <c r="D563" s="11"/>
      <c r="E563" s="11">
        <v>513</v>
      </c>
      <c r="F563" s="11">
        <v>0</v>
      </c>
      <c r="G563" s="11">
        <v>0</v>
      </c>
      <c r="H563" s="23"/>
      <c r="I563" s="23"/>
      <c r="J563" s="23"/>
      <c r="K563" s="11"/>
      <c r="L563" s="11">
        <v>0</v>
      </c>
      <c r="M563" s="27">
        <f t="shared" si="74"/>
        <v>0</v>
      </c>
      <c r="N563" s="27">
        <v>0</v>
      </c>
      <c r="O563" s="366">
        <f t="shared" si="73"/>
        <v>0</v>
      </c>
    </row>
    <row r="564" spans="1:15" ht="12.75" customHeight="1" hidden="1">
      <c r="A564" s="26"/>
      <c r="B564" s="26" t="s">
        <v>742</v>
      </c>
      <c r="C564" s="11" t="s">
        <v>743</v>
      </c>
      <c r="D564" s="11">
        <v>281900</v>
      </c>
      <c r="E564" s="11">
        <v>44414</v>
      </c>
      <c r="F564" s="11">
        <v>670</v>
      </c>
      <c r="G564" s="11">
        <v>2066</v>
      </c>
      <c r="H564" s="23"/>
      <c r="I564" s="23"/>
      <c r="J564" s="23"/>
      <c r="K564" s="11"/>
      <c r="L564" s="11">
        <v>0</v>
      </c>
      <c r="M564" s="27">
        <f t="shared" si="74"/>
        <v>0</v>
      </c>
      <c r="N564" s="27">
        <v>0</v>
      </c>
      <c r="O564" s="366">
        <f t="shared" si="73"/>
        <v>0</v>
      </c>
    </row>
    <row r="565" spans="1:15" ht="14.25" customHeight="1" hidden="1">
      <c r="A565" s="26"/>
      <c r="B565" s="26" t="s">
        <v>762</v>
      </c>
      <c r="C565" s="11" t="s">
        <v>64</v>
      </c>
      <c r="D565" s="11">
        <v>91232</v>
      </c>
      <c r="E565" s="11">
        <v>0</v>
      </c>
      <c r="F565" s="11"/>
      <c r="G565" s="11"/>
      <c r="H565" s="23"/>
      <c r="I565" s="23"/>
      <c r="J565" s="23"/>
      <c r="K565" s="11"/>
      <c r="L565" s="11">
        <v>0</v>
      </c>
      <c r="M565" s="27">
        <f t="shared" si="74"/>
        <v>0</v>
      </c>
      <c r="N565" s="27">
        <v>0</v>
      </c>
      <c r="O565" s="366">
        <f t="shared" si="73"/>
        <v>0</v>
      </c>
    </row>
    <row r="566" spans="1:15" ht="35.25" customHeight="1" hidden="1">
      <c r="A566" s="29" t="s">
        <v>65</v>
      </c>
      <c r="B566" s="29"/>
      <c r="C566" s="7" t="s">
        <v>66</v>
      </c>
      <c r="D566" s="10" t="e">
        <f>#REF!+D568</f>
        <v>#REF!</v>
      </c>
      <c r="E566" s="10" t="e">
        <f>#REF!+E568</f>
        <v>#REF!</v>
      </c>
      <c r="F566" s="10"/>
      <c r="G566" s="10"/>
      <c r="H566" s="23"/>
      <c r="I566" s="23"/>
      <c r="J566" s="23"/>
      <c r="K566" s="11"/>
      <c r="L566" s="11">
        <v>0</v>
      </c>
      <c r="M566" s="27">
        <f t="shared" si="74"/>
        <v>0</v>
      </c>
      <c r="N566" s="27">
        <v>0</v>
      </c>
      <c r="O566" s="366">
        <f t="shared" si="73"/>
        <v>0</v>
      </c>
    </row>
    <row r="567" spans="1:15" ht="15.75" customHeight="1">
      <c r="A567" s="29"/>
      <c r="B567" s="37" t="s">
        <v>876</v>
      </c>
      <c r="C567" s="32" t="s">
        <v>886</v>
      </c>
      <c r="D567" s="23"/>
      <c r="E567" s="23"/>
      <c r="F567" s="23"/>
      <c r="G567" s="23"/>
      <c r="H567" s="23">
        <v>1500</v>
      </c>
      <c r="I567" s="23">
        <v>0</v>
      </c>
      <c r="J567" s="23">
        <v>0</v>
      </c>
      <c r="K567" s="11">
        <v>0</v>
      </c>
      <c r="L567" s="11">
        <v>0</v>
      </c>
      <c r="M567" s="27">
        <f t="shared" si="74"/>
        <v>0</v>
      </c>
      <c r="N567" s="27">
        <v>0</v>
      </c>
      <c r="O567" s="366">
        <f t="shared" si="73"/>
        <v>0</v>
      </c>
    </row>
    <row r="568" spans="1:15" ht="13.5" customHeight="1">
      <c r="A568" s="26"/>
      <c r="B568" s="39" t="s">
        <v>730</v>
      </c>
      <c r="C568" s="14" t="s">
        <v>757</v>
      </c>
      <c r="D568" s="11">
        <v>200</v>
      </c>
      <c r="E568" s="11">
        <v>0</v>
      </c>
      <c r="F568" s="11"/>
      <c r="G568" s="11"/>
      <c r="H568" s="23">
        <v>275062</v>
      </c>
      <c r="I568" s="23">
        <v>0</v>
      </c>
      <c r="J568" s="23">
        <v>0</v>
      </c>
      <c r="K568" s="11">
        <v>214566</v>
      </c>
      <c r="L568" s="11">
        <v>0</v>
      </c>
      <c r="M568" s="27">
        <f t="shared" si="74"/>
        <v>214566</v>
      </c>
      <c r="N568" s="27">
        <v>0</v>
      </c>
      <c r="O568" s="366">
        <f t="shared" si="73"/>
        <v>0.007652196564082929</v>
      </c>
    </row>
    <row r="569" spans="1:15" ht="13.5" customHeight="1">
      <c r="A569" s="26"/>
      <c r="B569" s="39" t="s">
        <v>732</v>
      </c>
      <c r="C569" s="14" t="s">
        <v>824</v>
      </c>
      <c r="D569" s="11"/>
      <c r="E569" s="11"/>
      <c r="F569" s="11"/>
      <c r="G569" s="11"/>
      <c r="H569" s="23">
        <v>85600</v>
      </c>
      <c r="I569" s="23">
        <v>0</v>
      </c>
      <c r="J569" s="23">
        <v>0</v>
      </c>
      <c r="K569" s="11">
        <v>76740</v>
      </c>
      <c r="L569" s="11">
        <v>0</v>
      </c>
      <c r="M569" s="27">
        <f t="shared" si="74"/>
        <v>76740</v>
      </c>
      <c r="N569" s="27">
        <v>0</v>
      </c>
      <c r="O569" s="366">
        <f t="shared" si="73"/>
        <v>0.002736824866603861</v>
      </c>
    </row>
    <row r="570" spans="1:15" ht="13.5" customHeight="1">
      <c r="A570" s="26"/>
      <c r="B570" s="39" t="s">
        <v>736</v>
      </c>
      <c r="C570" s="14" t="s">
        <v>826</v>
      </c>
      <c r="D570" s="11"/>
      <c r="E570" s="11"/>
      <c r="F570" s="11"/>
      <c r="G570" s="11"/>
      <c r="H570" s="23">
        <v>39410</v>
      </c>
      <c r="I570" s="23">
        <v>0</v>
      </c>
      <c r="J570" s="23">
        <v>0</v>
      </c>
      <c r="K570" s="11">
        <v>45090</v>
      </c>
      <c r="L570" s="11">
        <v>0</v>
      </c>
      <c r="M570" s="27">
        <f t="shared" si="74"/>
        <v>45090</v>
      </c>
      <c r="N570" s="27">
        <v>0</v>
      </c>
      <c r="O570" s="366">
        <f t="shared" si="73"/>
        <v>0.0016080718430436288</v>
      </c>
    </row>
    <row r="571" spans="1:15" ht="13.5" customHeight="1">
      <c r="A571" s="26"/>
      <c r="B571" s="39" t="s">
        <v>742</v>
      </c>
      <c r="C571" s="14" t="s">
        <v>743</v>
      </c>
      <c r="D571" s="11"/>
      <c r="E571" s="11"/>
      <c r="F571" s="11"/>
      <c r="G571" s="11"/>
      <c r="H571" s="23">
        <v>15678</v>
      </c>
      <c r="I571" s="23">
        <v>0</v>
      </c>
      <c r="J571" s="23">
        <v>0</v>
      </c>
      <c r="K571" s="11">
        <v>25898</v>
      </c>
      <c r="L571" s="11">
        <v>0</v>
      </c>
      <c r="M571" s="27">
        <f t="shared" si="74"/>
        <v>25898</v>
      </c>
      <c r="N571" s="27">
        <v>0</v>
      </c>
      <c r="O571" s="366">
        <f t="shared" si="73"/>
        <v>0.0009236159811741827</v>
      </c>
    </row>
    <row r="572" spans="1:15" ht="15.75" customHeight="1" hidden="1">
      <c r="A572" s="29" t="s">
        <v>67</v>
      </c>
      <c r="B572" s="41"/>
      <c r="C572" s="7" t="s">
        <v>68</v>
      </c>
      <c r="D572" s="10"/>
      <c r="E572" s="10">
        <f aca="true" t="shared" si="75" ref="E572:N572">E573</f>
        <v>94026</v>
      </c>
      <c r="F572" s="10">
        <f t="shared" si="75"/>
        <v>0</v>
      </c>
      <c r="G572" s="10">
        <f t="shared" si="75"/>
        <v>0</v>
      </c>
      <c r="H572" s="10">
        <v>0</v>
      </c>
      <c r="I572" s="10">
        <v>0</v>
      </c>
      <c r="J572" s="10">
        <v>0</v>
      </c>
      <c r="K572" s="11"/>
      <c r="L572" s="10">
        <f t="shared" si="75"/>
        <v>0</v>
      </c>
      <c r="M572" s="27">
        <f t="shared" si="74"/>
        <v>0</v>
      </c>
      <c r="N572" s="22">
        <f t="shared" si="75"/>
        <v>0</v>
      </c>
      <c r="O572" s="366">
        <f aca="true" t="shared" si="76" ref="O572:O606">K572/$K$606</f>
        <v>0</v>
      </c>
    </row>
    <row r="573" spans="1:15" ht="12.75" customHeight="1">
      <c r="A573" s="26"/>
      <c r="B573" s="39" t="s">
        <v>758</v>
      </c>
      <c r="C573" s="14" t="s">
        <v>759</v>
      </c>
      <c r="D573" s="11"/>
      <c r="E573" s="11">
        <v>94026</v>
      </c>
      <c r="F573" s="11">
        <v>0</v>
      </c>
      <c r="G573" s="11">
        <v>0</v>
      </c>
      <c r="H573" s="23">
        <v>4200</v>
      </c>
      <c r="I573" s="23">
        <v>0</v>
      </c>
      <c r="J573" s="23">
        <v>0</v>
      </c>
      <c r="K573" s="11">
        <v>4200</v>
      </c>
      <c r="L573" s="11">
        <v>0</v>
      </c>
      <c r="M573" s="27">
        <f t="shared" si="74"/>
        <v>4200</v>
      </c>
      <c r="N573" s="27">
        <v>0</v>
      </c>
      <c r="O573" s="366">
        <f t="shared" si="76"/>
        <v>0.00014978713108856158</v>
      </c>
    </row>
    <row r="574" spans="1:15" ht="12.75" customHeight="1">
      <c r="A574" s="26"/>
      <c r="B574" s="39" t="s">
        <v>760</v>
      </c>
      <c r="C574" s="14" t="s">
        <v>622</v>
      </c>
      <c r="D574" s="11"/>
      <c r="E574" s="11"/>
      <c r="F574" s="11"/>
      <c r="G574" s="11"/>
      <c r="H574" s="23"/>
      <c r="I574" s="23"/>
      <c r="J574" s="23"/>
      <c r="K574" s="11">
        <v>0</v>
      </c>
      <c r="L574" s="11">
        <v>0</v>
      </c>
      <c r="M574" s="27">
        <f>K574</f>
        <v>0</v>
      </c>
      <c r="N574" s="27">
        <v>0</v>
      </c>
      <c r="O574" s="366">
        <f t="shared" si="76"/>
        <v>0</v>
      </c>
    </row>
    <row r="575" spans="1:15" ht="12.75" customHeight="1">
      <c r="A575" s="26"/>
      <c r="B575" s="39" t="s">
        <v>274</v>
      </c>
      <c r="C575" s="14" t="s">
        <v>622</v>
      </c>
      <c r="D575" s="11"/>
      <c r="E575" s="11"/>
      <c r="F575" s="11"/>
      <c r="G575" s="11"/>
      <c r="H575" s="23"/>
      <c r="I575" s="23"/>
      <c r="J575" s="23"/>
      <c r="K575" s="11">
        <v>609000</v>
      </c>
      <c r="L575" s="11">
        <v>0</v>
      </c>
      <c r="M575" s="27">
        <f>K575</f>
        <v>609000</v>
      </c>
      <c r="N575" s="27">
        <v>0</v>
      </c>
      <c r="O575" s="366">
        <f t="shared" si="76"/>
        <v>0.021719134007841426</v>
      </c>
    </row>
    <row r="576" spans="1:15" ht="15.75" customHeight="1">
      <c r="A576" s="29" t="s">
        <v>67</v>
      </c>
      <c r="B576" s="41"/>
      <c r="C576" s="7" t="s">
        <v>68</v>
      </c>
      <c r="D576" s="10"/>
      <c r="E576" s="10"/>
      <c r="F576" s="10"/>
      <c r="G576" s="10"/>
      <c r="H576" s="10">
        <f aca="true" t="shared" si="77" ref="H576:N576">H577</f>
        <v>5083</v>
      </c>
      <c r="I576" s="10">
        <f t="shared" si="77"/>
        <v>0</v>
      </c>
      <c r="J576" s="10">
        <f t="shared" si="77"/>
        <v>0</v>
      </c>
      <c r="K576" s="10">
        <f t="shared" si="77"/>
        <v>6000</v>
      </c>
      <c r="L576" s="10">
        <f t="shared" si="77"/>
        <v>0</v>
      </c>
      <c r="M576" s="10">
        <f t="shared" si="77"/>
        <v>6000</v>
      </c>
      <c r="N576" s="10">
        <f t="shared" si="77"/>
        <v>0</v>
      </c>
      <c r="O576" s="366">
        <f t="shared" si="76"/>
        <v>0.00021398161584080223</v>
      </c>
    </row>
    <row r="577" spans="1:15" ht="15" customHeight="1">
      <c r="A577" s="26"/>
      <c r="B577" s="39" t="s">
        <v>682</v>
      </c>
      <c r="C577" s="14" t="s">
        <v>681</v>
      </c>
      <c r="D577" s="11"/>
      <c r="E577" s="11"/>
      <c r="F577" s="11"/>
      <c r="G577" s="11"/>
      <c r="H577" s="23">
        <v>5083</v>
      </c>
      <c r="I577" s="23">
        <v>0</v>
      </c>
      <c r="J577" s="23">
        <v>0</v>
      </c>
      <c r="K577" s="11">
        <v>6000</v>
      </c>
      <c r="L577" s="11">
        <v>0</v>
      </c>
      <c r="M577" s="27">
        <f>K577</f>
        <v>6000</v>
      </c>
      <c r="N577" s="27">
        <v>0</v>
      </c>
      <c r="O577" s="366">
        <f t="shared" si="76"/>
        <v>0.00021398161584080223</v>
      </c>
    </row>
    <row r="578" spans="1:15" ht="17.25" customHeight="1">
      <c r="A578" s="29" t="s">
        <v>69</v>
      </c>
      <c r="B578" s="29"/>
      <c r="C578" s="7" t="s">
        <v>70</v>
      </c>
      <c r="D578" s="10">
        <f>D579+D583</f>
        <v>24996</v>
      </c>
      <c r="E578" s="10">
        <f>E579+E583+E584+E585+E580+E581</f>
        <v>24996</v>
      </c>
      <c r="F578" s="10">
        <f>F579+F583+F584+F585+F580+F581</f>
        <v>325</v>
      </c>
      <c r="G578" s="10">
        <f>G579+G583+G584+G585+G580+G581</f>
        <v>325</v>
      </c>
      <c r="H578" s="10">
        <f>H579+H580+H581+H583+H584</f>
        <v>9000</v>
      </c>
      <c r="I578" s="10">
        <f>I579+I580+I581+I583+I584</f>
        <v>0</v>
      </c>
      <c r="J578" s="10">
        <f>J579+J580+J581+J583+J584</f>
        <v>0</v>
      </c>
      <c r="K578" s="10">
        <f>K579+K580+K581+K582+K583+K584</f>
        <v>3900</v>
      </c>
      <c r="L578" s="10">
        <f>L579+L580+L581+L582+L583+L584+L585</f>
        <v>0</v>
      </c>
      <c r="M578" s="22">
        <f>M579+M580+M581+M582+M583+M584+M585</f>
        <v>2400</v>
      </c>
      <c r="N578" s="22">
        <f>N579+N580+N581+N582+N583</f>
        <v>1500</v>
      </c>
      <c r="O578" s="366">
        <f t="shared" si="76"/>
        <v>0.00013908805029652144</v>
      </c>
    </row>
    <row r="579" spans="1:15" ht="15" customHeight="1">
      <c r="A579" s="26"/>
      <c r="B579" s="26" t="s">
        <v>783</v>
      </c>
      <c r="C579" s="14" t="s">
        <v>180</v>
      </c>
      <c r="D579" s="11">
        <v>16664</v>
      </c>
      <c r="E579" s="11">
        <v>16664</v>
      </c>
      <c r="F579" s="11">
        <v>0</v>
      </c>
      <c r="G579" s="11">
        <v>0</v>
      </c>
      <c r="H579" s="23">
        <v>6000</v>
      </c>
      <c r="I579" s="23">
        <v>0</v>
      </c>
      <c r="J579" s="23">
        <v>0</v>
      </c>
      <c r="K579" s="11">
        <v>1500</v>
      </c>
      <c r="L579" s="11">
        <v>0</v>
      </c>
      <c r="M579" s="27">
        <v>0</v>
      </c>
      <c r="N579" s="27">
        <f>K579</f>
        <v>1500</v>
      </c>
      <c r="O579" s="366">
        <f t="shared" si="76"/>
        <v>5.349540396020056E-05</v>
      </c>
    </row>
    <row r="580" spans="1:15" ht="15" customHeight="1">
      <c r="A580" s="26"/>
      <c r="B580" s="26" t="s">
        <v>753</v>
      </c>
      <c r="C580" s="14" t="s">
        <v>72</v>
      </c>
      <c r="D580" s="11"/>
      <c r="E580" s="11">
        <v>286</v>
      </c>
      <c r="F580" s="11">
        <v>286</v>
      </c>
      <c r="G580" s="11">
        <v>0</v>
      </c>
      <c r="H580" s="23">
        <v>324</v>
      </c>
      <c r="I580" s="23">
        <v>0</v>
      </c>
      <c r="J580" s="23">
        <v>0</v>
      </c>
      <c r="K580" s="11">
        <v>0</v>
      </c>
      <c r="L580" s="11">
        <v>0</v>
      </c>
      <c r="M580" s="27">
        <f>K580</f>
        <v>0</v>
      </c>
      <c r="N580" s="27">
        <v>0</v>
      </c>
      <c r="O580" s="366">
        <f t="shared" si="76"/>
        <v>0</v>
      </c>
    </row>
    <row r="581" spans="1:15" ht="14.25" customHeight="1">
      <c r="A581" s="26"/>
      <c r="B581" s="26" t="s">
        <v>728</v>
      </c>
      <c r="C581" s="14" t="s">
        <v>50</v>
      </c>
      <c r="D581" s="11"/>
      <c r="E581" s="11">
        <v>39</v>
      </c>
      <c r="F581" s="11">
        <v>39</v>
      </c>
      <c r="G581" s="11">
        <v>0</v>
      </c>
      <c r="H581" s="23">
        <v>44</v>
      </c>
      <c r="I581" s="23">
        <v>0</v>
      </c>
      <c r="J581" s="23">
        <v>0</v>
      </c>
      <c r="K581" s="11">
        <v>0</v>
      </c>
      <c r="L581" s="11">
        <v>0</v>
      </c>
      <c r="M581" s="27">
        <f>K581</f>
        <v>0</v>
      </c>
      <c r="N581" s="27">
        <v>0</v>
      </c>
      <c r="O581" s="366">
        <f t="shared" si="76"/>
        <v>0</v>
      </c>
    </row>
    <row r="582" spans="1:15" ht="14.25" customHeight="1">
      <c r="A582" s="26"/>
      <c r="B582" s="26" t="s">
        <v>459</v>
      </c>
      <c r="C582" s="14" t="s">
        <v>460</v>
      </c>
      <c r="D582" s="11"/>
      <c r="E582" s="11"/>
      <c r="F582" s="11"/>
      <c r="G582" s="11"/>
      <c r="H582" s="23"/>
      <c r="I582" s="23"/>
      <c r="J582" s="23"/>
      <c r="K582" s="11">
        <v>1400</v>
      </c>
      <c r="L582" s="11">
        <v>0</v>
      </c>
      <c r="M582" s="27">
        <f>K582</f>
        <v>1400</v>
      </c>
      <c r="N582" s="27">
        <v>0</v>
      </c>
      <c r="O582" s="366">
        <f t="shared" si="76"/>
        <v>4.992904369618719E-05</v>
      </c>
    </row>
    <row r="583" spans="1:15" ht="12.75" customHeight="1">
      <c r="A583" s="26"/>
      <c r="B583" s="26" t="s">
        <v>730</v>
      </c>
      <c r="C583" s="14" t="s">
        <v>757</v>
      </c>
      <c r="D583" s="11">
        <v>8332</v>
      </c>
      <c r="E583" s="11">
        <v>3107</v>
      </c>
      <c r="F583" s="11">
        <v>0</v>
      </c>
      <c r="G583" s="11">
        <v>325</v>
      </c>
      <c r="H583" s="23">
        <v>832</v>
      </c>
      <c r="I583" s="23">
        <v>0</v>
      </c>
      <c r="J583" s="23">
        <v>0</v>
      </c>
      <c r="K583" s="11">
        <v>600</v>
      </c>
      <c r="L583" s="11">
        <v>0</v>
      </c>
      <c r="M583" s="27">
        <f>K583</f>
        <v>600</v>
      </c>
      <c r="N583" s="27">
        <v>0</v>
      </c>
      <c r="O583" s="366">
        <f t="shared" si="76"/>
        <v>2.1398161584080223E-05</v>
      </c>
    </row>
    <row r="584" spans="1:15" ht="13.5" customHeight="1">
      <c r="A584" s="26"/>
      <c r="B584" s="26" t="s">
        <v>736</v>
      </c>
      <c r="C584" s="14" t="s">
        <v>737</v>
      </c>
      <c r="D584" s="11"/>
      <c r="E584" s="11">
        <v>2500</v>
      </c>
      <c r="F584" s="11">
        <v>0</v>
      </c>
      <c r="G584" s="11">
        <v>0</v>
      </c>
      <c r="H584" s="23">
        <v>1800</v>
      </c>
      <c r="I584" s="23">
        <v>0</v>
      </c>
      <c r="J584" s="23">
        <v>0</v>
      </c>
      <c r="K584" s="11">
        <v>400</v>
      </c>
      <c r="L584" s="11">
        <v>0</v>
      </c>
      <c r="M584" s="27">
        <f>K584</f>
        <v>400</v>
      </c>
      <c r="N584" s="27">
        <v>0</v>
      </c>
      <c r="O584" s="366">
        <f t="shared" si="76"/>
        <v>1.4265441056053482E-05</v>
      </c>
    </row>
    <row r="585" spans="1:15" ht="15.75" customHeight="1" hidden="1">
      <c r="A585" s="26"/>
      <c r="B585" s="26" t="s">
        <v>718</v>
      </c>
      <c r="C585" s="14" t="s">
        <v>73</v>
      </c>
      <c r="D585" s="11"/>
      <c r="E585" s="11">
        <v>2400</v>
      </c>
      <c r="F585" s="11">
        <v>0</v>
      </c>
      <c r="G585" s="11">
        <v>0</v>
      </c>
      <c r="H585" s="11"/>
      <c r="I585" s="11"/>
      <c r="J585" s="11"/>
      <c r="K585" s="11"/>
      <c r="L585" s="11"/>
      <c r="M585" s="27"/>
      <c r="N585" s="27"/>
      <c r="O585" s="366">
        <f t="shared" si="76"/>
        <v>0</v>
      </c>
    </row>
    <row r="586" spans="1:15" ht="13.5" customHeight="1">
      <c r="A586" s="29" t="s">
        <v>74</v>
      </c>
      <c r="B586" s="29"/>
      <c r="C586" s="7" t="s">
        <v>795</v>
      </c>
      <c r="D586" s="10"/>
      <c r="E586" s="10">
        <f aca="true" t="shared" si="78" ref="E586:N586">E587</f>
        <v>0</v>
      </c>
      <c r="F586" s="10">
        <f t="shared" si="78"/>
        <v>27582</v>
      </c>
      <c r="G586" s="10">
        <f t="shared" si="78"/>
        <v>0</v>
      </c>
      <c r="H586" s="10">
        <f>H587</f>
        <v>12118</v>
      </c>
      <c r="I586" s="10">
        <f>I587</f>
        <v>0</v>
      </c>
      <c r="J586" s="10">
        <f>J587</f>
        <v>0</v>
      </c>
      <c r="K586" s="10">
        <f>K587</f>
        <v>0</v>
      </c>
      <c r="L586" s="10">
        <f t="shared" si="78"/>
        <v>0</v>
      </c>
      <c r="M586" s="22">
        <f t="shared" si="78"/>
        <v>0</v>
      </c>
      <c r="N586" s="22">
        <f t="shared" si="78"/>
        <v>0</v>
      </c>
      <c r="O586" s="366">
        <f t="shared" si="76"/>
        <v>0</v>
      </c>
    </row>
    <row r="587" spans="1:15" ht="12.75" customHeight="1">
      <c r="A587" s="26"/>
      <c r="B587" s="26" t="s">
        <v>742</v>
      </c>
      <c r="C587" s="14" t="s">
        <v>743</v>
      </c>
      <c r="D587" s="11"/>
      <c r="E587" s="11">
        <v>0</v>
      </c>
      <c r="F587" s="11">
        <v>27582</v>
      </c>
      <c r="G587" s="11">
        <v>0</v>
      </c>
      <c r="H587" s="27">
        <v>12118</v>
      </c>
      <c r="I587" s="27">
        <v>0</v>
      </c>
      <c r="J587" s="27">
        <v>0</v>
      </c>
      <c r="K587" s="11">
        <v>0</v>
      </c>
      <c r="L587" s="11">
        <v>0</v>
      </c>
      <c r="M587" s="27">
        <f>K587</f>
        <v>0</v>
      </c>
      <c r="N587" s="27">
        <v>0</v>
      </c>
      <c r="O587" s="366">
        <f t="shared" si="76"/>
        <v>0</v>
      </c>
    </row>
    <row r="588" spans="1:15" ht="18.75" customHeight="1">
      <c r="A588" s="29" t="s">
        <v>75</v>
      </c>
      <c r="B588" s="29"/>
      <c r="C588" s="7" t="s">
        <v>76</v>
      </c>
      <c r="D588" s="10">
        <f aca="true" t="shared" si="79" ref="D588:N588">D589+D591</f>
        <v>5000</v>
      </c>
      <c r="E588" s="10">
        <f t="shared" si="79"/>
        <v>45000</v>
      </c>
      <c r="F588" s="10">
        <f t="shared" si="79"/>
        <v>0</v>
      </c>
      <c r="G588" s="10">
        <f t="shared" si="79"/>
        <v>0</v>
      </c>
      <c r="H588" s="10">
        <f>H589+H591</f>
        <v>38050</v>
      </c>
      <c r="I588" s="10">
        <f>I589+I591</f>
        <v>0</v>
      </c>
      <c r="J588" s="10">
        <f>J589+J591</f>
        <v>0</v>
      </c>
      <c r="K588" s="10">
        <f>K589+K591</f>
        <v>40100</v>
      </c>
      <c r="L588" s="10">
        <f t="shared" si="79"/>
        <v>0</v>
      </c>
      <c r="M588" s="22">
        <f t="shared" si="79"/>
        <v>7100</v>
      </c>
      <c r="N588" s="22">
        <f t="shared" si="79"/>
        <v>33000</v>
      </c>
      <c r="O588" s="366">
        <f t="shared" si="76"/>
        <v>0.0014301104658693616</v>
      </c>
    </row>
    <row r="589" spans="1:15" ht="15" customHeight="1">
      <c r="A589" s="29" t="s">
        <v>77</v>
      </c>
      <c r="B589" s="29"/>
      <c r="C589" s="7" t="s">
        <v>78</v>
      </c>
      <c r="D589" s="10">
        <f aca="true" t="shared" si="80" ref="D589:N589">D590</f>
        <v>0</v>
      </c>
      <c r="E589" s="10">
        <f t="shared" si="80"/>
        <v>30000</v>
      </c>
      <c r="F589" s="10">
        <f t="shared" si="80"/>
        <v>0</v>
      </c>
      <c r="G589" s="10">
        <f t="shared" si="80"/>
        <v>0</v>
      </c>
      <c r="H589" s="10">
        <f>H590</f>
        <v>30000</v>
      </c>
      <c r="I589" s="10">
        <f>I590</f>
        <v>0</v>
      </c>
      <c r="J589" s="10">
        <f>J590</f>
        <v>0</v>
      </c>
      <c r="K589" s="10">
        <f>K590</f>
        <v>33000</v>
      </c>
      <c r="L589" s="10">
        <f t="shared" si="80"/>
        <v>0</v>
      </c>
      <c r="M589" s="22">
        <f t="shared" si="80"/>
        <v>0</v>
      </c>
      <c r="N589" s="22">
        <f t="shared" si="80"/>
        <v>33000</v>
      </c>
      <c r="O589" s="366">
        <f t="shared" si="76"/>
        <v>0.0011768988871244123</v>
      </c>
    </row>
    <row r="590" spans="1:15" ht="14.25" customHeight="1">
      <c r="A590" s="26"/>
      <c r="B590" s="26" t="s">
        <v>783</v>
      </c>
      <c r="C590" s="14" t="s">
        <v>181</v>
      </c>
      <c r="D590" s="11">
        <v>0</v>
      </c>
      <c r="E590" s="11">
        <v>30000</v>
      </c>
      <c r="F590" s="11">
        <v>0</v>
      </c>
      <c r="G590" s="11">
        <v>0</v>
      </c>
      <c r="H590" s="11">
        <v>30000</v>
      </c>
      <c r="I590" s="11">
        <v>0</v>
      </c>
      <c r="J590" s="11">
        <v>0</v>
      </c>
      <c r="K590" s="11">
        <v>33000</v>
      </c>
      <c r="L590" s="11">
        <v>0</v>
      </c>
      <c r="M590" s="27">
        <v>0</v>
      </c>
      <c r="N590" s="27">
        <f>K590</f>
        <v>33000</v>
      </c>
      <c r="O590" s="366">
        <f t="shared" si="76"/>
        <v>0.0011768988871244123</v>
      </c>
    </row>
    <row r="591" spans="1:15" ht="15" customHeight="1">
      <c r="A591" s="29" t="s">
        <v>79</v>
      </c>
      <c r="B591" s="26"/>
      <c r="C591" s="7" t="s">
        <v>795</v>
      </c>
      <c r="D591" s="10">
        <f>D597</f>
        <v>5000</v>
      </c>
      <c r="E591" s="10">
        <f>E595+E596+E592</f>
        <v>15000</v>
      </c>
      <c r="F591" s="10">
        <f>F595+F596+F592</f>
        <v>0</v>
      </c>
      <c r="G591" s="10">
        <f>G595+G596+G592</f>
        <v>0</v>
      </c>
      <c r="H591" s="10">
        <f aca="true" t="shared" si="81" ref="H591:N591">H595+H596+H594</f>
        <v>8050</v>
      </c>
      <c r="I591" s="10">
        <f t="shared" si="81"/>
        <v>0</v>
      </c>
      <c r="J591" s="10">
        <f t="shared" si="81"/>
        <v>0</v>
      </c>
      <c r="K591" s="10">
        <f t="shared" si="81"/>
        <v>7100</v>
      </c>
      <c r="L591" s="10">
        <f t="shared" si="81"/>
        <v>0</v>
      </c>
      <c r="M591" s="10">
        <f t="shared" si="81"/>
        <v>7100</v>
      </c>
      <c r="N591" s="10">
        <f t="shared" si="81"/>
        <v>0</v>
      </c>
      <c r="O591" s="366">
        <f t="shared" si="76"/>
        <v>0.0002532115787449493</v>
      </c>
    </row>
    <row r="592" spans="1:15" ht="14.25" customHeight="1" hidden="1">
      <c r="A592" s="29"/>
      <c r="B592" s="26"/>
      <c r="C592" s="32" t="s">
        <v>768</v>
      </c>
      <c r="D592" s="23"/>
      <c r="E592" s="23">
        <v>240</v>
      </c>
      <c r="F592" s="23">
        <v>0</v>
      </c>
      <c r="G592" s="23">
        <v>0</v>
      </c>
      <c r="H592" s="11"/>
      <c r="I592" s="11"/>
      <c r="J592" s="11"/>
      <c r="K592" s="11"/>
      <c r="L592" s="23">
        <v>0</v>
      </c>
      <c r="M592" s="24">
        <f>H592</f>
        <v>0</v>
      </c>
      <c r="N592" s="24">
        <v>0</v>
      </c>
      <c r="O592" s="366">
        <f t="shared" si="76"/>
        <v>0</v>
      </c>
    </row>
    <row r="593" spans="1:15" ht="28.5" customHeight="1" hidden="1">
      <c r="A593" s="29"/>
      <c r="B593" s="26" t="s">
        <v>783</v>
      </c>
      <c r="C593" s="14" t="s">
        <v>71</v>
      </c>
      <c r="D593" s="23"/>
      <c r="E593" s="23"/>
      <c r="F593" s="23"/>
      <c r="G593" s="23"/>
      <c r="H593" s="11">
        <v>0</v>
      </c>
      <c r="I593" s="11">
        <v>0</v>
      </c>
      <c r="J593" s="11">
        <v>0</v>
      </c>
      <c r="K593" s="11"/>
      <c r="L593" s="23">
        <v>0</v>
      </c>
      <c r="M593" s="24">
        <v>0</v>
      </c>
      <c r="N593" s="24">
        <v>0</v>
      </c>
      <c r="O593" s="366">
        <f t="shared" si="76"/>
        <v>0</v>
      </c>
    </row>
    <row r="594" spans="1:15" ht="14.25" customHeight="1">
      <c r="A594" s="29"/>
      <c r="B594" s="26" t="s">
        <v>783</v>
      </c>
      <c r="C594" s="14" t="s">
        <v>181</v>
      </c>
      <c r="D594" s="23"/>
      <c r="E594" s="23"/>
      <c r="F594" s="23"/>
      <c r="G594" s="23"/>
      <c r="H594" s="11">
        <v>3000</v>
      </c>
      <c r="I594" s="11">
        <v>0</v>
      </c>
      <c r="J594" s="11">
        <v>0</v>
      </c>
      <c r="K594" s="11">
        <v>0</v>
      </c>
      <c r="L594" s="23">
        <v>0</v>
      </c>
      <c r="M594" s="24">
        <v>0</v>
      </c>
      <c r="N594" s="24">
        <f>K594</f>
        <v>0</v>
      </c>
      <c r="O594" s="366">
        <f t="shared" si="76"/>
        <v>0</v>
      </c>
    </row>
    <row r="595" spans="1:15" ht="15" customHeight="1">
      <c r="A595" s="29"/>
      <c r="B595" s="26" t="s">
        <v>730</v>
      </c>
      <c r="C595" s="32" t="s">
        <v>757</v>
      </c>
      <c r="D595" s="23"/>
      <c r="E595" s="23">
        <v>10760</v>
      </c>
      <c r="F595" s="23">
        <v>0</v>
      </c>
      <c r="G595" s="23">
        <v>0</v>
      </c>
      <c r="H595" s="11">
        <v>3570</v>
      </c>
      <c r="I595" s="11">
        <v>0</v>
      </c>
      <c r="J595" s="11">
        <v>0</v>
      </c>
      <c r="K595" s="11">
        <v>5300</v>
      </c>
      <c r="L595" s="23">
        <v>0</v>
      </c>
      <c r="M595" s="24">
        <f>K595</f>
        <v>5300</v>
      </c>
      <c r="N595" s="24">
        <v>0</v>
      </c>
      <c r="O595" s="366">
        <f t="shared" si="76"/>
        <v>0.00018901709399270865</v>
      </c>
    </row>
    <row r="596" spans="1:15" ht="13.5" customHeight="1">
      <c r="A596" s="29"/>
      <c r="B596" s="26" t="s">
        <v>736</v>
      </c>
      <c r="C596" s="32" t="s">
        <v>737</v>
      </c>
      <c r="D596" s="23"/>
      <c r="E596" s="23">
        <v>4000</v>
      </c>
      <c r="F596" s="23">
        <v>0</v>
      </c>
      <c r="G596" s="23">
        <v>0</v>
      </c>
      <c r="H596" s="11">
        <v>1480</v>
      </c>
      <c r="I596" s="11">
        <v>0</v>
      </c>
      <c r="J596" s="11">
        <v>0</v>
      </c>
      <c r="K596" s="11">
        <v>1800</v>
      </c>
      <c r="L596" s="23">
        <v>0</v>
      </c>
      <c r="M596" s="24">
        <f>K596</f>
        <v>1800</v>
      </c>
      <c r="N596" s="24">
        <v>0</v>
      </c>
      <c r="O596" s="366">
        <f t="shared" si="76"/>
        <v>6.419448475224067E-05</v>
      </c>
    </row>
    <row r="597" spans="1:15" ht="18" customHeight="1" hidden="1">
      <c r="A597" s="26"/>
      <c r="B597" s="26"/>
      <c r="C597" s="14" t="s">
        <v>867</v>
      </c>
      <c r="D597" s="11">
        <v>5000</v>
      </c>
      <c r="E597" s="11">
        <v>0</v>
      </c>
      <c r="F597" s="11"/>
      <c r="G597" s="11"/>
      <c r="H597" s="11"/>
      <c r="I597" s="11"/>
      <c r="J597" s="11"/>
      <c r="K597" s="11"/>
      <c r="L597" s="11"/>
      <c r="M597" s="27"/>
      <c r="N597" s="27"/>
      <c r="O597" s="366">
        <f t="shared" si="76"/>
        <v>0</v>
      </c>
    </row>
    <row r="598" spans="1:15" ht="14.25" customHeight="1">
      <c r="A598" s="20" t="s">
        <v>80</v>
      </c>
      <c r="B598" s="20"/>
      <c r="C598" s="7" t="s">
        <v>81</v>
      </c>
      <c r="D598" s="10">
        <f>D599+D601</f>
        <v>10000</v>
      </c>
      <c r="E598" s="10">
        <f>E599+E601</f>
        <v>25000</v>
      </c>
      <c r="F598" s="10">
        <f aca="true" t="shared" si="82" ref="F598:N598">F601</f>
        <v>0</v>
      </c>
      <c r="G598" s="10">
        <f t="shared" si="82"/>
        <v>0</v>
      </c>
      <c r="H598" s="10">
        <f>H601</f>
        <v>16000</v>
      </c>
      <c r="I598" s="10">
        <f>I601</f>
        <v>0</v>
      </c>
      <c r="J598" s="10">
        <f>J601</f>
        <v>0</v>
      </c>
      <c r="K598" s="10">
        <f>K601</f>
        <v>16000</v>
      </c>
      <c r="L598" s="10">
        <f t="shared" si="82"/>
        <v>0</v>
      </c>
      <c r="M598" s="22">
        <f t="shared" si="82"/>
        <v>16000</v>
      </c>
      <c r="N598" s="22">
        <f t="shared" si="82"/>
        <v>0</v>
      </c>
      <c r="O598" s="366">
        <f t="shared" si="76"/>
        <v>0.0005706176422421393</v>
      </c>
    </row>
    <row r="599" spans="1:15" ht="18" customHeight="1" hidden="1">
      <c r="A599" s="20" t="s">
        <v>82</v>
      </c>
      <c r="B599" s="31"/>
      <c r="C599" s="7" t="s">
        <v>83</v>
      </c>
      <c r="D599" s="10">
        <f>D600</f>
        <v>0</v>
      </c>
      <c r="E599" s="10">
        <f>E600</f>
        <v>0</v>
      </c>
      <c r="F599" s="10"/>
      <c r="G599" s="10"/>
      <c r="H599" s="10"/>
      <c r="I599" s="10"/>
      <c r="J599" s="10"/>
      <c r="K599" s="10"/>
      <c r="L599" s="10"/>
      <c r="M599" s="22"/>
      <c r="N599" s="22"/>
      <c r="O599" s="366">
        <f t="shared" si="76"/>
        <v>0</v>
      </c>
    </row>
    <row r="600" spans="1:15" ht="14.25" customHeight="1" hidden="1">
      <c r="A600" s="26"/>
      <c r="B600" s="31" t="s">
        <v>760</v>
      </c>
      <c r="C600" s="14" t="s">
        <v>84</v>
      </c>
      <c r="D600" s="11">
        <v>0</v>
      </c>
      <c r="E600" s="11">
        <v>0</v>
      </c>
      <c r="F600" s="11"/>
      <c r="G600" s="11"/>
      <c r="H600" s="11"/>
      <c r="I600" s="11"/>
      <c r="J600" s="11"/>
      <c r="K600" s="11"/>
      <c r="L600" s="11"/>
      <c r="M600" s="27"/>
      <c r="N600" s="27"/>
      <c r="O600" s="366">
        <f t="shared" si="76"/>
        <v>0</v>
      </c>
    </row>
    <row r="601" spans="1:15" ht="12.75" customHeight="1">
      <c r="A601" s="29" t="s">
        <v>85</v>
      </c>
      <c r="B601" s="20"/>
      <c r="C601" s="7" t="s">
        <v>795</v>
      </c>
      <c r="D601" s="10">
        <f>D605</f>
        <v>10000</v>
      </c>
      <c r="E601" s="10">
        <f>E602+E603</f>
        <v>25000</v>
      </c>
      <c r="F601" s="10">
        <f>F602+F603</f>
        <v>0</v>
      </c>
      <c r="G601" s="10">
        <f>G602+G603</f>
        <v>0</v>
      </c>
      <c r="H601" s="10">
        <f aca="true" t="shared" si="83" ref="H601:N601">H603</f>
        <v>16000</v>
      </c>
      <c r="I601" s="10">
        <f t="shared" si="83"/>
        <v>0</v>
      </c>
      <c r="J601" s="10">
        <f t="shared" si="83"/>
        <v>0</v>
      </c>
      <c r="K601" s="10">
        <f t="shared" si="83"/>
        <v>16000</v>
      </c>
      <c r="L601" s="10">
        <f t="shared" si="83"/>
        <v>0</v>
      </c>
      <c r="M601" s="10">
        <f t="shared" si="83"/>
        <v>16000</v>
      </c>
      <c r="N601" s="10">
        <f t="shared" si="83"/>
        <v>0</v>
      </c>
      <c r="O601" s="366">
        <f t="shared" si="76"/>
        <v>0.0005706176422421393</v>
      </c>
    </row>
    <row r="602" spans="1:15" ht="26.25" customHeight="1" hidden="1">
      <c r="A602" s="29"/>
      <c r="B602" s="33"/>
      <c r="C602" s="32" t="s">
        <v>768</v>
      </c>
      <c r="D602" s="23"/>
      <c r="E602" s="23">
        <v>10800</v>
      </c>
      <c r="F602" s="23">
        <v>0</v>
      </c>
      <c r="G602" s="23">
        <v>0</v>
      </c>
      <c r="H602" s="23"/>
      <c r="I602" s="23"/>
      <c r="J602" s="23"/>
      <c r="K602" s="23"/>
      <c r="L602" s="23">
        <v>0</v>
      </c>
      <c r="M602" s="24">
        <f>H602</f>
        <v>0</v>
      </c>
      <c r="N602" s="24">
        <v>0</v>
      </c>
      <c r="O602" s="366">
        <f t="shared" si="76"/>
        <v>0</v>
      </c>
    </row>
    <row r="603" spans="1:15" ht="24" customHeight="1">
      <c r="A603" s="29"/>
      <c r="B603" s="33" t="s">
        <v>53</v>
      </c>
      <c r="C603" s="32" t="s">
        <v>182</v>
      </c>
      <c r="D603" s="23"/>
      <c r="E603" s="23">
        <v>14200</v>
      </c>
      <c r="F603" s="23">
        <v>0</v>
      </c>
      <c r="G603" s="23">
        <v>0</v>
      </c>
      <c r="H603" s="23">
        <v>16000</v>
      </c>
      <c r="I603" s="23">
        <v>0</v>
      </c>
      <c r="J603" s="23">
        <v>0</v>
      </c>
      <c r="K603" s="11">
        <v>16000</v>
      </c>
      <c r="L603" s="23">
        <v>0</v>
      </c>
      <c r="M603" s="24">
        <f>K603</f>
        <v>16000</v>
      </c>
      <c r="N603" s="24">
        <v>0</v>
      </c>
      <c r="O603" s="366">
        <f t="shared" si="76"/>
        <v>0.0005706176422421393</v>
      </c>
    </row>
    <row r="604" spans="1:15" ht="16.5" customHeight="1" hidden="1">
      <c r="A604" s="29"/>
      <c r="B604" s="20"/>
      <c r="C604" s="7"/>
      <c r="D604" s="10"/>
      <c r="E604" s="10"/>
      <c r="F604" s="10"/>
      <c r="G604" s="10"/>
      <c r="H604" s="10"/>
      <c r="I604" s="10"/>
      <c r="J604" s="10"/>
      <c r="K604" s="10"/>
      <c r="L604" s="10"/>
      <c r="M604" s="22"/>
      <c r="N604" s="22"/>
      <c r="O604" s="366">
        <f t="shared" si="76"/>
        <v>0</v>
      </c>
    </row>
    <row r="605" spans="1:15" ht="3.75" customHeight="1" hidden="1">
      <c r="A605" s="26"/>
      <c r="B605" s="31"/>
      <c r="C605" s="14"/>
      <c r="D605" s="11">
        <v>10000</v>
      </c>
      <c r="E605" s="11"/>
      <c r="F605" s="11"/>
      <c r="G605" s="11"/>
      <c r="H605" s="11"/>
      <c r="I605" s="11"/>
      <c r="J605" s="11"/>
      <c r="K605" s="11"/>
      <c r="L605" s="11"/>
      <c r="M605" s="27"/>
      <c r="N605" s="27"/>
      <c r="O605" s="366">
        <f t="shared" si="76"/>
        <v>0</v>
      </c>
    </row>
    <row r="606" spans="1:15" ht="24" customHeight="1">
      <c r="A606" s="26"/>
      <c r="B606" s="31"/>
      <c r="C606" s="3" t="s">
        <v>86</v>
      </c>
      <c r="D606" s="10" t="e">
        <f>D9+D31+D37+D67+D77+D95+D165+D214+D221+D226+D387+D413+D517+D588+D598</f>
        <v>#REF!</v>
      </c>
      <c r="E606" s="10" t="e">
        <f>E9+E31+E37+E67+E77+E95+E165+E214+E221+E226+E387+E413+E517+E588+E598</f>
        <v>#REF!</v>
      </c>
      <c r="F606" s="10" t="e">
        <f>F598+F588+F517+F413+F387+F226+F221+F214+F165+F95+F77+F67+F37+F31+F9</f>
        <v>#REF!</v>
      </c>
      <c r="G606" s="10" t="e">
        <f>G598+G588+G517+G413+G387+G226+G221+G214+G165+G95+G77+G67+G37+G31+G9</f>
        <v>#REF!</v>
      </c>
      <c r="H606" s="10" t="e">
        <f>H598+H588+H517+H413+H387+H226+H221+H214+H165+H159+H95+H77+H67+H37+H31+H9+H64</f>
        <v>#REF!</v>
      </c>
      <c r="I606" s="10" t="e">
        <f>I598+I588+I517+I413+I387+I226+I221+I214+I165+I159+I95+I77+I67+I37+I31+I9+I64</f>
        <v>#REF!</v>
      </c>
      <c r="J606" s="10" t="e">
        <f>J598+J588+J517+J413+J387+J226+J221+J214+J165+J159+J95+J77+J67+J37+J31+J9+J64</f>
        <v>#REF!</v>
      </c>
      <c r="K606" s="10">
        <f>K9+K31+K37+K67+K77+K95+K165+K214+K221+K226+K387+K413+K490+K517+K588+K598</f>
        <v>28039792</v>
      </c>
      <c r="L606" s="10">
        <f>L9+L31+L37+L67+L77+L95+L165+L214+L221+L226+L387+L413+L490+L517+L588+L598</f>
        <v>2910110</v>
      </c>
      <c r="M606" s="10">
        <f>M9+M31+M37+M67+M77+M95+M165+M214+M221+M226+M387+M413+M490+M517+M588+M598</f>
        <v>24658287</v>
      </c>
      <c r="N606" s="10">
        <f>N9+N31+N37+N67+N77+N95+N165+N214+N221+N226+N387+N413+N490+N517+N588+N598</f>
        <v>471395</v>
      </c>
      <c r="O606" s="366">
        <f t="shared" si="76"/>
        <v>1</v>
      </c>
    </row>
    <row r="607" spans="1:15" ht="9.75" customHeight="1">
      <c r="A607" s="42"/>
      <c r="B607" s="522" t="s">
        <v>87</v>
      </c>
      <c r="C607" s="523"/>
      <c r="D607" s="6" t="s">
        <v>88</v>
      </c>
      <c r="E607" s="6" t="s">
        <v>88</v>
      </c>
      <c r="F607" s="6" t="s">
        <v>88</v>
      </c>
      <c r="G607" s="6" t="s">
        <v>88</v>
      </c>
      <c r="H607" s="6"/>
      <c r="I607" s="6"/>
      <c r="J607" s="6"/>
      <c r="K607" s="6"/>
      <c r="L607" s="6"/>
      <c r="M607" s="6"/>
      <c r="N607" s="6"/>
      <c r="O607" s="366"/>
    </row>
    <row r="608" spans="1:15" ht="15" customHeight="1">
      <c r="A608" s="42"/>
      <c r="B608" s="561" t="s">
        <v>89</v>
      </c>
      <c r="C608" s="562"/>
      <c r="D608" s="562"/>
      <c r="E608" s="11" t="e">
        <f aca="true" t="shared" si="84" ref="E608:N608">E606-E613</f>
        <v>#REF!</v>
      </c>
      <c r="F608" s="11" t="e">
        <f t="shared" si="84"/>
        <v>#REF!</v>
      </c>
      <c r="G608" s="11" t="e">
        <f t="shared" si="84"/>
        <v>#REF!</v>
      </c>
      <c r="H608" s="11" t="e">
        <f t="shared" si="84"/>
        <v>#REF!</v>
      </c>
      <c r="I608" s="11" t="e">
        <f t="shared" si="84"/>
        <v>#REF!</v>
      </c>
      <c r="J608" s="11" t="e">
        <f t="shared" si="84"/>
        <v>#REF!</v>
      </c>
      <c r="K608" s="11">
        <f t="shared" si="84"/>
        <v>23280008</v>
      </c>
      <c r="L608" s="11">
        <f t="shared" si="84"/>
        <v>2885610</v>
      </c>
      <c r="M608" s="11">
        <f t="shared" si="84"/>
        <v>19923003</v>
      </c>
      <c r="N608" s="11">
        <f t="shared" si="84"/>
        <v>471395</v>
      </c>
      <c r="O608" s="366">
        <f aca="true" t="shared" si="85" ref="O608:O614">K608/$K$606</f>
        <v>0.8302489547711338</v>
      </c>
    </row>
    <row r="609" spans="1:15" ht="12" customHeight="1">
      <c r="A609" s="42"/>
      <c r="B609" s="561" t="s">
        <v>90</v>
      </c>
      <c r="C609" s="562"/>
      <c r="D609" s="562"/>
      <c r="E609" s="11" t="e">
        <f>E13+E15+E39+E40+E83+E85+E97+E98+E120+E121+E168+E170+E171+E172+E173+E174+E228+E229+E245+E246+E257+E258+E343+#REF!+E290+E291+E322+E323+E356+E357+E400+E401+E415+E416+E433+E434+E461+E462+E494+E503+E504+E519+E520+E535+E536+E551+E552+E14+E187+E188+E189+E190+E191+#REF!+#REF!+E169</f>
        <v>#REF!</v>
      </c>
      <c r="F609" s="11" t="e">
        <f>F13+F15+F39+F40+F83+F85+F97+F98+F120+F121+F168+F170+F171+F172+F173+F174+F228+F229+F245+F246+F257+F258+F343+#REF!+F290+F291+F322+F323+F356+F357+F400+F401+F415+F416+F433+F434+F461+F462+F494+F503+F504+F519+F520+F535+F536+F551+F552+F14+F187+F188+F189+F190+F191+#REF!+#REF!+F169</f>
        <v>#REF!</v>
      </c>
      <c r="G609" s="11" t="e">
        <f>G13+G15+G39+G40+G83+G85+G97+G98+G120+G121+G168+G170+G171+G172+G173+G174+G228+G229+G245+G246+G257+G258+G343+#REF!+G290+G291+G322+G323+G356+G357+G400+G401+G415+G416+G433+G434+G461+G462+G494+G503+G504+G519+G520+G535+G536+G551+G552+G14+G187+G188+G189+G190+G191+#REF!+#REF!+G169</f>
        <v>#REF!</v>
      </c>
      <c r="H609" s="11" t="e">
        <f>H13+H14+H15+H39+H40+H83+H84+H85+H97+H98+H120+H121+H168+H169+H170+H171+H172+H173+H174+H187+H188+H189+H190+H191+#REF!++H228+H229+H245+H246+H257+H258+H290+H291+H343+H356+H357+H415+H416+H433+H434+H461+H462+H494+H495+#REF!+#REF!+H503+H504+H519+H520+H535+H536+H551+H552+H377+H280</f>
        <v>#REF!</v>
      </c>
      <c r="I609" s="11" t="e">
        <f>I13+I14+I15+I39+I40+I83+I84+I85+I97+I98+I120+I121+I168+I169+I170+I171+I172+I173+I174+I187+I188+I189+I190+I191+#REF!++I228+I229+I245+I246+I257+I258+I290+I291+I343+I356+I357+I415+I416+I433+I434+I461+I462+I494+I495+#REF!+#REF!+I503+I504+I519+I520+I535+I536+I551+I552+I377+I280</f>
        <v>#REF!</v>
      </c>
      <c r="J609" s="11" t="e">
        <f>J13+J14+J15+J39+J40+J83+J84+J85+J97+J98+J120+J121+J168+J169+J170+J171+J172+J173+J174+J187+J188+J189+J190+J191+#REF!++J228+J229+J245+J246+J257+J258+J290+J291+J343+J356+J357+J415+J416+J433+J434+J461+J462+J494+J495+#REF!+#REF!+J503+J504+J519+J520+J535+J536+J551+J552+J377+J280</f>
        <v>#REF!</v>
      </c>
      <c r="K609" s="11">
        <f>K39+K40+K83+K84+K85+K97+K98+K120+K121+K187+K188+K189+K190+K191+K192+K228+K229+K245+K246+K257+K258+K280+K281+K290+K291+K356+K357+K377+K415+K416+K433+K434+K461+K462+K475+K476+K494+K495+K503+K504+K519+K520+K535+K536+K551+K552</f>
        <v>12509772</v>
      </c>
      <c r="L609" s="11">
        <f>L39+L40+L83+L84+L85+L97+L98+L120+L121+L187+L188+L189+L190+L191+L192+L228+L229+L245+L246+L257+L258+L280+L281+L290+L291+L356+L357+L377+L415+L416+L433+L434+L461+L462+L475+L476+L494+L495+L503+L504+L519+L520+L535+L536+L551+L552</f>
        <v>1709383</v>
      </c>
      <c r="M609" s="11">
        <f>M39+M40+M83+M84+M85+M97+M98+M120+M121+M187+M188+M189+M190+M191+M192+M228+M229+M245+M246+M257+M258+M280+M281+M290+M291+M356+M357+M377+M415+M416+M433+M434+M461+M462+M475+M476+M494+M495+M503+M504+M519+M520+M535+M536+M551+M552</f>
        <v>10800389</v>
      </c>
      <c r="N609" s="11">
        <f>N39+N40+N83+N84+N85+N97+N98+N120+N121+N187+N188+N189+N190+N191+N192+N228+N229+N245+N246+N257+N258+N280+N281+N290+N291+N356+N357+N377+N415+N416+N433+N434+N461+N462+N475+N476+N494+N495+N503+N504+N519+N520+N535+N536+N551+N552</f>
        <v>0</v>
      </c>
      <c r="O609" s="366">
        <f t="shared" si="85"/>
        <v>0.4461435377266707</v>
      </c>
    </row>
    <row r="610" spans="1:15" ht="12.75" customHeight="1">
      <c r="A610" s="42"/>
      <c r="B610" s="561" t="s">
        <v>91</v>
      </c>
      <c r="C610" s="562"/>
      <c r="D610" s="562"/>
      <c r="E610" s="11" t="e">
        <f>E16+E17+E41+E42+E86+E87+E99+E100+E122+E124+E144+E145+E175+E176+E193+E194+E230+E231+E247+E248+E259+E260+E292+E293+E324+E325+E344+E345+E358+E359+E402+E403+E417+E418+E435+E437+E463+E464+E496+E497+E505+E506+E521+E522+E537+E538+E553+E554+E370+E371+#REF!+#REF!+E580+E581</f>
        <v>#REF!</v>
      </c>
      <c r="F610" s="11" t="e">
        <f>F16+F17+F41+F42+F86+F87+F99+F100+F122+F124+F144+F145+F175+F176+F193+F194+F230+F231+F247+F248+F259+F260+F292+F293+F324+F325+F344+F345+F358+F359+F402+F403+F417+F418+F435+F437+F463+F464+F496+F497+F505+F506+F521+F522+F537+F538+F553+F554+F370+F371+#REF!+#REF!+F580+F581</f>
        <v>#REF!</v>
      </c>
      <c r="G610" s="11" t="e">
        <f>G16+G17+G41+G42+G86+G87+G99+G100+G122+G124+G144+G145+G175+G176+G193+G194+G230+G231+G247+G248+G259+G260+G292+G293+G324+G325+G344+G345+G358+G359+G402+G403+G417+G418+G435+G437+G463+G464+G496+G497+G505+G506+G521+G522+G537+G538+G553+G554+G370+G371+#REF!+#REF!+G580+G581</f>
        <v>#REF!</v>
      </c>
      <c r="H610" s="11" t="e">
        <f>H16+H17+H41+H42+H86+H87+H99+H100+H122+H124+H144+H145+H175+H176+H193+H194+H230+H231+H247+H248+H259+H260+H292+H293+H344+H345+H358+H359+H417+H418+H435+H437+H463+H464+H496+H497+#REF!+#REF!+H505+H506+H521+H522+H537+H538+H553+H554+H580+H581+H378+H379+H282+H283</f>
        <v>#REF!</v>
      </c>
      <c r="I610" s="11" t="e">
        <f>I16+I17+I41+I42+I86+I87+I99+I100+I122+I124+I144+I145+I175+I176+I193+I194+I230+I231+I247+I248+I259+I260+I292+I293+I344+I345+I358+I359+I417+I418+I435+I437+I463+I464+I496+I497+#REF!+#REF!+I505+I506+I521+I522+I537+I538+I553+I554+I580+I581+I378+I379+I282+I283</f>
        <v>#REF!</v>
      </c>
      <c r="J610" s="11" t="e">
        <f>J16+J17+J41+J42+J86+J87+J99+J100+J122+J124+J144+J145+J175+J176+J193+J194+J230+J231+J247+J248+J259+J260+J292+J293+J344+J345+J358+J359+J417+J418+J435+J437+J463+J464+J496+J497+#REF!+#REF!+J505+J506+J521+J522+J537+J538+J553+J554+J580+J581+J378+J379+J282+J283</f>
        <v>#REF!</v>
      </c>
      <c r="K610" s="11">
        <f>K41+K42+K86+K87+K99+K100+K122+K124+K144+K145+K193+K194+K230+K231+K247+K248+K259+K260+K282+K283+K292+K293+K358+K359+K378+K379+K417+K418+K435+K437+K463+K464+K477+K478+K496+K497+K505+K506+K521+K522+K537+K538+K553+K554+K580+K581</f>
        <v>2110680</v>
      </c>
      <c r="L610" s="11">
        <f>L41+L42+L86+L87+L99+L100+L122+L124+L144+L145+L193+L194+L230+L231+L247+L248+L259+L260+L282+L283+L292+L293+L358+L359+L378+L379+L417+L418+L435+L437+L463+L464+L477+L478+L496+L497+L505+L506+L521+L522+L537+L538+L553+L554+L580+L581</f>
        <v>39726</v>
      </c>
      <c r="M610" s="11">
        <f>M41+M42+M86+M87+M99+M100+M122+M124+M144+M145+M193+M194+M230+M231+M247+M248+M259+M260+M282+M283+M292+M293+M358+M359+M378+M379+M417+M418+M435+M437+M463+M464+M477+M478+M496+M497+M505+M506+M521+M522+M537+M538+M553+M554+M580+M581</f>
        <v>2070954</v>
      </c>
      <c r="N610" s="11">
        <f>N41+N42+N86+N87+N99+N100+N122+N124+N144+N145+N193+N194+N230+N231+N247+N248+N259+N260+N282+N283+N292+N293+N358+N359+N378+N379+N417+N418+N435+N437+N463+N464+N477+N478+N496+N497+N505+N506+N521+N522+N537+N538+N553+N554+N580+N581</f>
        <v>0</v>
      </c>
      <c r="O610" s="366">
        <f t="shared" si="85"/>
        <v>0.07527445282047741</v>
      </c>
    </row>
    <row r="611" spans="1:15" ht="14.25" customHeight="1">
      <c r="A611" s="42"/>
      <c r="B611" s="563" t="s">
        <v>684</v>
      </c>
      <c r="C611" s="560"/>
      <c r="D611" s="560"/>
      <c r="E611" s="11" t="e">
        <f>E138+E275+E315+E336+E351+E367+E375+E579+E590+E483+E430+#REF!+E393+#REF!+#REF!</f>
        <v>#REF!</v>
      </c>
      <c r="F611" s="11" t="e">
        <f>F138+F275+F315+F336+F351+F367+F390+F579+F590+F374+F483+F430+#REF!+F393+#REF!+#REF!</f>
        <v>#REF!</v>
      </c>
      <c r="G611" s="11" t="e">
        <f>G138+G275+G315+G336+G351+G367+G390+G579+G590+G374+G483+G430+#REF!+G393+#REF!+#REF!</f>
        <v>#REF!</v>
      </c>
      <c r="H611" s="11" t="e">
        <f>H241+H255+H275+H315+H351+H375+H430+H483+#REF!+H579+H590+H603+H104+#REF!+H593+#REF!+H242+H367+H594+H63+#REF!+#REF!+H30+#REF!</f>
        <v>#REF!</v>
      </c>
      <c r="I611" s="11" t="e">
        <f>I241+I255+I275+I315+I351+I375+I430+I483+#REF!+I579+I590+I603+I104+#REF!+I593+#REF!+I242+I367+I594+I63+#REF!+#REF!+I30+#REF!</f>
        <v>#REF!</v>
      </c>
      <c r="J611" s="11" t="e">
        <f>J241+J255+J275+J315+J351+J375+J430+J483+#REF!+J579+J590+J603+J104+#REF!+J593+#REF!+J242+J367+J594+J63+#REF!+#REF!+J30+#REF!</f>
        <v>#REF!</v>
      </c>
      <c r="K611" s="11">
        <f>K30+K63+K107+K109+K241+K243+K255+K275+K315+K367+K375+K431+K454+K455+K492+K579+K590+K603+K594</f>
        <v>1357312</v>
      </c>
      <c r="L611" s="11">
        <f>L30+L63+L107+L109+L241+L243+L255+L275+L315+L367+L375+L431+L454+L455+L492+L579+L590+L603+L594</f>
        <v>10000</v>
      </c>
      <c r="M611" s="11">
        <f>M30+M63+M107+M109+M241+M243+M255+M275+M315+M367+M375+M431+M454+M455+M492+M579+M590+M603+M594</f>
        <v>875917</v>
      </c>
      <c r="N611" s="11">
        <f>N30+N63+N107+N109+N241+N243+N255+N275+N315+N367+N375+N431+N454+N455+N492+N579+N590+N603+N594</f>
        <v>471395</v>
      </c>
      <c r="O611" s="366">
        <f t="shared" si="85"/>
        <v>0.04840663582668516</v>
      </c>
    </row>
    <row r="612" spans="1:15" ht="15.75" customHeight="1">
      <c r="A612" s="42"/>
      <c r="B612" s="563" t="s">
        <v>98</v>
      </c>
      <c r="C612" s="560"/>
      <c r="D612" s="560"/>
      <c r="E612" s="11">
        <f aca="true" t="shared" si="86" ref="E612:N612">E214</f>
        <v>750000</v>
      </c>
      <c r="F612" s="11">
        <f t="shared" si="86"/>
        <v>0</v>
      </c>
      <c r="G612" s="11">
        <f t="shared" si="86"/>
        <v>0</v>
      </c>
      <c r="H612" s="11">
        <f>H214</f>
        <v>496142</v>
      </c>
      <c r="I612" s="11">
        <f>I214</f>
        <v>0</v>
      </c>
      <c r="J612" s="11">
        <f>J214</f>
        <v>0</v>
      </c>
      <c r="K612" s="11">
        <f t="shared" si="86"/>
        <v>600000</v>
      </c>
      <c r="L612" s="11">
        <f t="shared" si="86"/>
        <v>0</v>
      </c>
      <c r="M612" s="11">
        <f t="shared" si="86"/>
        <v>600000</v>
      </c>
      <c r="N612" s="11">
        <f t="shared" si="86"/>
        <v>0</v>
      </c>
      <c r="O612" s="366">
        <f t="shared" si="85"/>
        <v>0.021398161584080224</v>
      </c>
    </row>
    <row r="613" spans="1:15" ht="15.75" customHeight="1">
      <c r="A613" s="42"/>
      <c r="B613" s="561" t="s">
        <v>99</v>
      </c>
      <c r="C613" s="562"/>
      <c r="D613" s="562"/>
      <c r="E613" s="11" t="e">
        <f>E56+E58+E59+E140+#REF!+#REF!+E338+E339+E389+E391+E394+E320+E57</f>
        <v>#REF!</v>
      </c>
      <c r="F613" s="11" t="e">
        <f>F56+F58+F59+F140+#REF!+#REF!+F338+F339+F389+F391+F394+F320+F57</f>
        <v>#REF!</v>
      </c>
      <c r="G613" s="11" t="e">
        <f>G56+G58+G59+G140+#REF!+#REF!+G338+G339+G389+G391+G320+G57</f>
        <v>#REF!</v>
      </c>
      <c r="H613" s="11" t="e">
        <f>H56+H140+H338+H339+H389+H391+H394+H320+H57+H532+H66+H62+#REF!+H451+H185</f>
        <v>#REF!</v>
      </c>
      <c r="I613" s="11" t="e">
        <f>I56+I140+I338+I339+I389+I391+I394+I320+I57+I532+I66+I62+#REF!+I451+I185</f>
        <v>#REF!</v>
      </c>
      <c r="J613" s="11" t="e">
        <f>J56+J140+J338+J339+J389+J391+J394+J320+J57+J532+J66+J62+#REF!+J451+J185</f>
        <v>#REF!</v>
      </c>
      <c r="K613" s="11">
        <f>K56+K60+K61+K62+K94+K140+K141+K213+K389+K394+K451+K452+K516+K574+K575</f>
        <v>4759784</v>
      </c>
      <c r="L613" s="11">
        <f>L56+L60+L61+L62+L94+L140+L141+L213+L320+L389+L394+L451+L452+L516+L574+L575</f>
        <v>24500</v>
      </c>
      <c r="M613" s="11">
        <f>M56+M60+M61+M62+M94+M140+M141+M213+M320+M389+M394+M451+M452+M516+M574+M575</f>
        <v>4735284</v>
      </c>
      <c r="N613" s="11">
        <f>N56+N60+N61+N62+N94+N140+N141+N213+N320+N389+N394+N451+N452+N516+N574+N575</f>
        <v>0</v>
      </c>
      <c r="O613" s="366">
        <f t="shared" si="85"/>
        <v>0.16975104522886617</v>
      </c>
    </row>
    <row r="614" spans="1:15" ht="14.25" customHeight="1">
      <c r="A614" s="44"/>
      <c r="B614" s="560" t="s">
        <v>286</v>
      </c>
      <c r="C614" s="560"/>
      <c r="D614" s="560"/>
      <c r="E614" s="11" t="e">
        <f>E56+E58+E59+E140+#REF!+#REF!+E338+E339+E389+E391+E394+E320+E57</f>
        <v>#REF!</v>
      </c>
      <c r="F614" s="11" t="e">
        <f>F56+F58+F59+F140+#REF!+#REF!+F338+F339+F389+F391+F394+F320+F57</f>
        <v>#REF!</v>
      </c>
      <c r="G614" s="11" t="e">
        <f>G56+G58+G59+G140+#REF!+#REF!+G338+G339+G389+G391+G394+G320+G57</f>
        <v>#REF!</v>
      </c>
      <c r="H614" s="11" t="e">
        <f>H613</f>
        <v>#REF!</v>
      </c>
      <c r="I614" s="263" t="e">
        <f>I613</f>
        <v>#REF!</v>
      </c>
      <c r="J614" s="11" t="e">
        <f>J613</f>
        <v>#REF!</v>
      </c>
      <c r="K614" s="11">
        <f>K56+K60+K61+K94+K140+K141+K213+K320+K389+K451+K452+K516+K574+K575</f>
        <v>4759784</v>
      </c>
      <c r="L614" s="11">
        <f>L56+L60+L61+L94+L140+L141+L213+L320+L389+L451+L452+L516+L574+L575</f>
        <v>24500</v>
      </c>
      <c r="M614" s="11">
        <f>M56+M60+M61+M94+M140+M141+M213+M320+M389+M451+M452+M516+M574+M575</f>
        <v>4735284</v>
      </c>
      <c r="N614" s="11">
        <f>N56+N60+N61+N94+N140+N141+N213+N320+N389+N451+N452+N516</f>
        <v>0</v>
      </c>
      <c r="O614" s="366">
        <f t="shared" si="85"/>
        <v>0.16975104522886617</v>
      </c>
    </row>
    <row r="615" spans="1:14" ht="14.25" customHeight="1">
      <c r="A615" s="524"/>
      <c r="B615" s="524"/>
      <c r="C615" s="524"/>
      <c r="D615" s="45"/>
      <c r="E615" s="45"/>
      <c r="F615" s="45"/>
      <c r="G615" s="45"/>
      <c r="H615" s="45"/>
      <c r="I615" s="45" t="s">
        <v>506</v>
      </c>
      <c r="J615" t="s">
        <v>635</v>
      </c>
      <c r="L615" s="45"/>
      <c r="M615" s="45"/>
      <c r="N615" s="279"/>
    </row>
    <row r="616" spans="1:10" ht="12.75" customHeight="1" hidden="1">
      <c r="A616" s="525"/>
      <c r="B616" s="525"/>
      <c r="C616" s="525"/>
      <c r="I616" t="s">
        <v>305</v>
      </c>
      <c r="J616" s="45"/>
    </row>
    <row r="617" spans="5:11" ht="12.75">
      <c r="E617" s="46"/>
      <c r="F617" s="46"/>
      <c r="G617" s="46"/>
      <c r="H617" s="46"/>
      <c r="I617" s="46"/>
      <c r="J617" s="45"/>
      <c r="K617" s="46"/>
    </row>
    <row r="618" ht="12.75">
      <c r="J618" s="45"/>
    </row>
    <row r="619" ht="12.75">
      <c r="J619" s="45"/>
    </row>
  </sheetData>
  <mergeCells count="36">
    <mergeCell ref="O4:O7"/>
    <mergeCell ref="L1:N1"/>
    <mergeCell ref="O2:S2"/>
    <mergeCell ref="B2:N2"/>
    <mergeCell ref="C3:N3"/>
    <mergeCell ref="E5:E7"/>
    <mergeCell ref="D5:D7"/>
    <mergeCell ref="F5:F7"/>
    <mergeCell ref="A615:C616"/>
    <mergeCell ref="B4:B7"/>
    <mergeCell ref="A4:A7"/>
    <mergeCell ref="J5:J7"/>
    <mergeCell ref="I4:J4"/>
    <mergeCell ref="H4:H7"/>
    <mergeCell ref="A13:A24"/>
    <mergeCell ref="A461:A465"/>
    <mergeCell ref="A39:A44"/>
    <mergeCell ref="G5:G7"/>
    <mergeCell ref="B608:D608"/>
    <mergeCell ref="B613:D613"/>
    <mergeCell ref="I5:I7"/>
    <mergeCell ref="L4:N6"/>
    <mergeCell ref="C4:C7"/>
    <mergeCell ref="B9:B10"/>
    <mergeCell ref="B31:B32"/>
    <mergeCell ref="K4:K7"/>
    <mergeCell ref="B607:C607"/>
    <mergeCell ref="B614:D614"/>
    <mergeCell ref="B609:D609"/>
    <mergeCell ref="B610:D610"/>
    <mergeCell ref="B612:D612"/>
    <mergeCell ref="B611:D611"/>
    <mergeCell ref="A433:A437"/>
    <mergeCell ref="A257:A273"/>
    <mergeCell ref="A343:A346"/>
    <mergeCell ref="A400:A404"/>
  </mergeCells>
  <printOptions/>
  <pageMargins left="0.984251968503937" right="0.7874015748031497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A5" sqref="A5:G5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4.25390625" style="0" customWidth="1"/>
    <col min="6" max="6" width="13.875" style="0" customWidth="1"/>
    <col min="7" max="7" width="11.00390625" style="0" customWidth="1"/>
  </cols>
  <sheetData>
    <row r="1" spans="5:7" ht="40.5" customHeight="1">
      <c r="E1" s="566" t="s">
        <v>3</v>
      </c>
      <c r="F1" s="566"/>
      <c r="G1" s="566"/>
    </row>
    <row r="2" ht="3" customHeight="1" hidden="1"/>
    <row r="3" ht="12.75" hidden="1"/>
    <row r="4" ht="12.75" hidden="1"/>
    <row r="5" spans="1:7" ht="31.5" customHeight="1">
      <c r="A5" s="588" t="s">
        <v>551</v>
      </c>
      <c r="B5" s="588"/>
      <c r="C5" s="588"/>
      <c r="D5" s="588"/>
      <c r="E5" s="588"/>
      <c r="F5" s="588"/>
      <c r="G5" s="588"/>
    </row>
    <row r="6" ht="13.5" thickBot="1"/>
    <row r="7" spans="1:7" ht="13.5" thickBot="1">
      <c r="A7" s="583" t="s">
        <v>100</v>
      </c>
      <c r="B7" s="584"/>
      <c r="C7" s="585"/>
      <c r="D7" s="579" t="s">
        <v>101</v>
      </c>
      <c r="E7" s="586" t="s">
        <v>102</v>
      </c>
      <c r="F7" s="581" t="s">
        <v>103</v>
      </c>
      <c r="G7" s="577" t="s">
        <v>104</v>
      </c>
    </row>
    <row r="8" spans="1:7" ht="90.75" customHeight="1">
      <c r="A8" s="17" t="s">
        <v>105</v>
      </c>
      <c r="B8" s="17" t="s">
        <v>106</v>
      </c>
      <c r="C8" s="47" t="s">
        <v>693</v>
      </c>
      <c r="D8" s="580"/>
      <c r="E8" s="587"/>
      <c r="F8" s="582"/>
      <c r="G8" s="578"/>
    </row>
    <row r="9" spans="1:7" ht="13.5" thickBot="1">
      <c r="A9" s="48">
        <v>1</v>
      </c>
      <c r="B9" s="49">
        <v>2</v>
      </c>
      <c r="C9" s="49">
        <v>3</v>
      </c>
      <c r="D9" s="50">
        <v>4</v>
      </c>
      <c r="E9" s="6">
        <v>5</v>
      </c>
      <c r="F9" s="6">
        <v>6</v>
      </c>
      <c r="G9" s="6">
        <v>7</v>
      </c>
    </row>
    <row r="10" spans="1:8" ht="18" customHeight="1">
      <c r="A10" s="4" t="s">
        <v>107</v>
      </c>
      <c r="B10" s="51"/>
      <c r="C10" s="51"/>
      <c r="D10" s="5" t="s">
        <v>108</v>
      </c>
      <c r="E10" s="22">
        <v>0</v>
      </c>
      <c r="F10" s="22">
        <v>0</v>
      </c>
      <c r="G10" s="22">
        <f>G11+G12+G13+G14</f>
        <v>138000</v>
      </c>
      <c r="H10" t="s">
        <v>536</v>
      </c>
    </row>
    <row r="11" spans="1:7" ht="12.75" hidden="1">
      <c r="A11" s="26" t="s">
        <v>703</v>
      </c>
      <c r="B11" s="26" t="s">
        <v>709</v>
      </c>
      <c r="C11" s="26" t="s">
        <v>109</v>
      </c>
      <c r="D11" s="6" t="s">
        <v>710</v>
      </c>
      <c r="E11" s="27" t="s">
        <v>536</v>
      </c>
      <c r="F11" s="27">
        <v>0</v>
      </c>
      <c r="G11" s="27">
        <v>0</v>
      </c>
    </row>
    <row r="12" spans="1:7" ht="25.5">
      <c r="A12" s="6">
        <v>700</v>
      </c>
      <c r="B12" s="6">
        <v>70005</v>
      </c>
      <c r="C12" s="6">
        <v>2350</v>
      </c>
      <c r="D12" s="52" t="s">
        <v>767</v>
      </c>
      <c r="E12" s="27">
        <v>0</v>
      </c>
      <c r="F12" s="27">
        <v>0</v>
      </c>
      <c r="G12" s="27">
        <v>138000</v>
      </c>
    </row>
    <row r="13" spans="1:7" ht="12.75" hidden="1">
      <c r="A13" s="6">
        <v>754</v>
      </c>
      <c r="B13" s="6">
        <v>75411</v>
      </c>
      <c r="C13" s="6">
        <v>235</v>
      </c>
      <c r="D13" s="6" t="s">
        <v>624</v>
      </c>
      <c r="E13" s="27">
        <v>0</v>
      </c>
      <c r="F13" s="27">
        <v>0</v>
      </c>
      <c r="G13" s="27">
        <v>0</v>
      </c>
    </row>
    <row r="14" spans="1:7" ht="12.75" hidden="1">
      <c r="A14" s="53">
        <v>851</v>
      </c>
      <c r="B14" s="53">
        <v>85132</v>
      </c>
      <c r="C14" s="53">
        <v>235</v>
      </c>
      <c r="D14" s="53" t="s">
        <v>110</v>
      </c>
      <c r="E14" s="54">
        <v>0</v>
      </c>
      <c r="F14" s="54">
        <v>0</v>
      </c>
      <c r="G14" s="54">
        <v>0</v>
      </c>
    </row>
    <row r="15" spans="1:7" ht="12.75">
      <c r="A15" s="55" t="s">
        <v>111</v>
      </c>
      <c r="B15" s="572" t="s">
        <v>112</v>
      </c>
      <c r="C15" s="572"/>
      <c r="D15" s="572"/>
      <c r="E15" s="572"/>
      <c r="F15" s="572"/>
      <c r="G15" s="56"/>
    </row>
    <row r="16" spans="1:7" ht="38.25">
      <c r="A16" s="57" t="s">
        <v>703</v>
      </c>
      <c r="B16" s="57" t="s">
        <v>744</v>
      </c>
      <c r="C16" s="57" t="s">
        <v>893</v>
      </c>
      <c r="D16" s="58" t="s">
        <v>114</v>
      </c>
      <c r="E16" s="59">
        <f>'Z 1'!S342</f>
        <v>40000</v>
      </c>
      <c r="F16" s="59">
        <f>F17</f>
        <v>40000</v>
      </c>
      <c r="G16" s="60">
        <v>0</v>
      </c>
    </row>
    <row r="17" spans="1:7" ht="12.75">
      <c r="A17" s="61"/>
      <c r="B17" s="61"/>
      <c r="C17" s="61" t="s">
        <v>736</v>
      </c>
      <c r="D17" s="62" t="s">
        <v>826</v>
      </c>
      <c r="E17" s="44">
        <v>0</v>
      </c>
      <c r="F17" s="44">
        <v>40000</v>
      </c>
      <c r="G17" s="63">
        <v>0</v>
      </c>
    </row>
    <row r="18" spans="1:7" ht="12.75" hidden="1">
      <c r="A18" s="64" t="s">
        <v>703</v>
      </c>
      <c r="B18" s="64" t="s">
        <v>709</v>
      </c>
      <c r="C18" s="20" t="s">
        <v>113</v>
      </c>
      <c r="D18" s="10" t="s">
        <v>136</v>
      </c>
      <c r="E18" s="10" t="e">
        <f>'Z 1'!#REF!</f>
        <v>#REF!</v>
      </c>
      <c r="F18" s="10">
        <f>F19+F20+F21+F22+F24+F23+F25+F26+F27+F28+F29+F30</f>
        <v>0</v>
      </c>
      <c r="G18" s="22">
        <v>0</v>
      </c>
    </row>
    <row r="19" spans="1:7" ht="25.5" hidden="1">
      <c r="A19" s="65"/>
      <c r="B19" s="66"/>
      <c r="C19" s="67" t="s">
        <v>720</v>
      </c>
      <c r="D19" s="14" t="s">
        <v>721</v>
      </c>
      <c r="E19" s="11">
        <v>0</v>
      </c>
      <c r="F19" s="11">
        <v>0</v>
      </c>
      <c r="G19" s="27">
        <v>0</v>
      </c>
    </row>
    <row r="20" spans="1:7" ht="25.5" hidden="1">
      <c r="A20" s="68"/>
      <c r="B20" s="69"/>
      <c r="C20" s="67" t="s">
        <v>722</v>
      </c>
      <c r="D20" s="14" t="s">
        <v>723</v>
      </c>
      <c r="E20" s="11">
        <v>0</v>
      </c>
      <c r="F20" s="11">
        <v>0</v>
      </c>
      <c r="G20" s="27">
        <v>0</v>
      </c>
    </row>
    <row r="21" spans="1:7" ht="12.75" hidden="1">
      <c r="A21" s="68"/>
      <c r="B21" s="69"/>
      <c r="C21" s="67" t="s">
        <v>724</v>
      </c>
      <c r="D21" s="11" t="s">
        <v>137</v>
      </c>
      <c r="E21" s="11">
        <v>0</v>
      </c>
      <c r="F21" s="11">
        <v>0</v>
      </c>
      <c r="G21" s="27">
        <v>0</v>
      </c>
    </row>
    <row r="22" spans="1:7" ht="12.75" hidden="1">
      <c r="A22" s="68"/>
      <c r="B22" s="69"/>
      <c r="C22" s="70" t="s">
        <v>753</v>
      </c>
      <c r="D22" s="14" t="s">
        <v>142</v>
      </c>
      <c r="E22" s="11">
        <v>0</v>
      </c>
      <c r="F22" s="11">
        <v>0</v>
      </c>
      <c r="G22" s="27">
        <v>0</v>
      </c>
    </row>
    <row r="23" spans="1:7" ht="12.75" hidden="1">
      <c r="A23" s="68"/>
      <c r="B23" s="69"/>
      <c r="C23" s="70" t="s">
        <v>728</v>
      </c>
      <c r="D23" s="14" t="s">
        <v>729</v>
      </c>
      <c r="E23" s="11">
        <v>0</v>
      </c>
      <c r="F23" s="11">
        <v>0</v>
      </c>
      <c r="G23" s="27">
        <v>0</v>
      </c>
    </row>
    <row r="24" spans="1:7" ht="12.75" hidden="1">
      <c r="A24" s="68"/>
      <c r="B24" s="69"/>
      <c r="C24" s="43">
        <v>4210</v>
      </c>
      <c r="D24" s="31" t="s">
        <v>731</v>
      </c>
      <c r="E24" s="11">
        <v>0</v>
      </c>
      <c r="F24" s="11">
        <v>0</v>
      </c>
      <c r="G24" s="27">
        <v>0</v>
      </c>
    </row>
    <row r="25" spans="1:7" ht="12.75" hidden="1">
      <c r="A25" s="68"/>
      <c r="B25" s="69"/>
      <c r="C25" s="43">
        <v>4260</v>
      </c>
      <c r="D25" s="31" t="s">
        <v>824</v>
      </c>
      <c r="E25" s="11">
        <v>0</v>
      </c>
      <c r="F25" s="11">
        <v>0</v>
      </c>
      <c r="G25" s="27">
        <v>0</v>
      </c>
    </row>
    <row r="26" spans="1:7" ht="12.75" hidden="1">
      <c r="A26" s="68"/>
      <c r="B26" s="69"/>
      <c r="C26" s="43">
        <v>4270</v>
      </c>
      <c r="D26" s="31" t="s">
        <v>825</v>
      </c>
      <c r="E26" s="11">
        <v>0</v>
      </c>
      <c r="F26" s="11">
        <v>0</v>
      </c>
      <c r="G26" s="27">
        <v>0</v>
      </c>
    </row>
    <row r="27" spans="1:7" ht="12.75" hidden="1">
      <c r="A27" s="68"/>
      <c r="B27" s="69"/>
      <c r="C27" s="43">
        <v>4300</v>
      </c>
      <c r="D27" s="31" t="s">
        <v>826</v>
      </c>
      <c r="E27" s="11">
        <v>0</v>
      </c>
      <c r="F27" s="11">
        <v>0</v>
      </c>
      <c r="G27" s="27">
        <v>0</v>
      </c>
    </row>
    <row r="28" spans="1:7" ht="12.75" hidden="1">
      <c r="A28" s="68"/>
      <c r="B28" s="69"/>
      <c r="C28" s="43">
        <v>4410</v>
      </c>
      <c r="D28" s="31" t="s">
        <v>739</v>
      </c>
      <c r="E28" s="11">
        <v>0</v>
      </c>
      <c r="F28" s="11">
        <v>0</v>
      </c>
      <c r="G28" s="27">
        <v>0</v>
      </c>
    </row>
    <row r="29" spans="1:7" ht="12.75" hidden="1">
      <c r="A29" s="68"/>
      <c r="B29" s="69"/>
      <c r="C29" s="43">
        <v>4430</v>
      </c>
      <c r="D29" s="31" t="s">
        <v>741</v>
      </c>
      <c r="E29" s="11">
        <v>0</v>
      </c>
      <c r="F29" s="11">
        <v>0</v>
      </c>
      <c r="G29" s="27">
        <v>0</v>
      </c>
    </row>
    <row r="30" spans="1:7" ht="12.75" hidden="1">
      <c r="A30" s="71"/>
      <c r="B30" s="61"/>
      <c r="C30" s="43">
        <v>4440</v>
      </c>
      <c r="D30" s="31" t="s">
        <v>743</v>
      </c>
      <c r="E30" s="11">
        <v>0</v>
      </c>
      <c r="F30" s="11">
        <v>0</v>
      </c>
      <c r="G30" s="27">
        <v>0</v>
      </c>
    </row>
    <row r="31" spans="1:7" ht="15.75" customHeight="1" hidden="1">
      <c r="A31" s="57" t="s">
        <v>745</v>
      </c>
      <c r="B31" s="57" t="s">
        <v>747</v>
      </c>
      <c r="C31" s="20" t="s">
        <v>113</v>
      </c>
      <c r="D31" s="10" t="s">
        <v>748</v>
      </c>
      <c r="E31" s="10">
        <v>0</v>
      </c>
      <c r="F31" s="10">
        <f>F32</f>
        <v>0</v>
      </c>
      <c r="G31" s="22">
        <v>0</v>
      </c>
    </row>
    <row r="32" spans="1:7" ht="15" customHeight="1" hidden="1">
      <c r="A32" s="31"/>
      <c r="B32" s="31"/>
      <c r="C32" s="31"/>
      <c r="D32" s="11" t="s">
        <v>867</v>
      </c>
      <c r="E32" s="11"/>
      <c r="F32" s="11">
        <v>0</v>
      </c>
      <c r="G32" s="27">
        <v>0</v>
      </c>
    </row>
    <row r="33" spans="1:7" ht="25.5">
      <c r="A33" s="20" t="s">
        <v>764</v>
      </c>
      <c r="B33" s="20" t="s">
        <v>766</v>
      </c>
      <c r="C33" s="20" t="s">
        <v>893</v>
      </c>
      <c r="D33" s="7" t="s">
        <v>767</v>
      </c>
      <c r="E33" s="10">
        <f>'Z 1'!S348</f>
        <v>55000</v>
      </c>
      <c r="F33" s="10">
        <f>F34+F35+F36+F38+F39+F37</f>
        <v>55000</v>
      </c>
      <c r="G33" s="10">
        <v>0</v>
      </c>
    </row>
    <row r="34" spans="1:7" ht="12.75">
      <c r="A34" s="33"/>
      <c r="B34" s="33"/>
      <c r="C34" s="33" t="s">
        <v>732</v>
      </c>
      <c r="D34" s="32" t="s">
        <v>824</v>
      </c>
      <c r="E34" s="23">
        <v>0</v>
      </c>
      <c r="F34" s="23">
        <f>'Z 2'!L70</f>
        <v>3365</v>
      </c>
      <c r="G34" s="23">
        <v>0</v>
      </c>
    </row>
    <row r="35" spans="1:7" ht="12.75">
      <c r="A35" s="20"/>
      <c r="B35" s="20"/>
      <c r="C35" s="33" t="s">
        <v>736</v>
      </c>
      <c r="D35" s="32" t="s">
        <v>826</v>
      </c>
      <c r="E35" s="23">
        <v>0</v>
      </c>
      <c r="F35" s="23">
        <f>'Z 2'!L71</f>
        <v>35960</v>
      </c>
      <c r="G35" s="24">
        <v>0</v>
      </c>
    </row>
    <row r="36" spans="1:7" ht="12.75">
      <c r="A36" s="20"/>
      <c r="B36" s="20"/>
      <c r="C36" s="33" t="s">
        <v>758</v>
      </c>
      <c r="D36" s="32" t="s">
        <v>759</v>
      </c>
      <c r="E36" s="23">
        <v>0</v>
      </c>
      <c r="F36" s="23">
        <v>13797</v>
      </c>
      <c r="G36" s="24">
        <v>0</v>
      </c>
    </row>
    <row r="37" spans="1:7" ht="12.75">
      <c r="A37" s="20"/>
      <c r="B37" s="20"/>
      <c r="C37" s="33" t="s">
        <v>799</v>
      </c>
      <c r="D37" s="32" t="s">
        <v>809</v>
      </c>
      <c r="E37" s="23">
        <v>0</v>
      </c>
      <c r="F37" s="23">
        <v>1878</v>
      </c>
      <c r="G37" s="24">
        <v>0</v>
      </c>
    </row>
    <row r="38" spans="1:7" ht="12.75" hidden="1">
      <c r="A38" s="20"/>
      <c r="B38" s="20"/>
      <c r="C38" s="33" t="s">
        <v>593</v>
      </c>
      <c r="D38" s="32" t="s">
        <v>328</v>
      </c>
      <c r="E38" s="23">
        <v>0</v>
      </c>
      <c r="F38" s="23">
        <v>0</v>
      </c>
      <c r="G38" s="24">
        <v>0</v>
      </c>
    </row>
    <row r="39" spans="1:7" ht="12.75" hidden="1">
      <c r="A39" s="20"/>
      <c r="B39" s="20"/>
      <c r="C39" s="33" t="s">
        <v>59</v>
      </c>
      <c r="D39" s="32" t="s">
        <v>595</v>
      </c>
      <c r="E39" s="23">
        <v>0</v>
      </c>
      <c r="F39" s="23">
        <v>0</v>
      </c>
      <c r="G39" s="24">
        <v>0</v>
      </c>
    </row>
    <row r="40" spans="1:7" ht="38.25">
      <c r="A40" s="20" t="s">
        <v>769</v>
      </c>
      <c r="B40" s="20" t="s">
        <v>771</v>
      </c>
      <c r="C40" s="20" t="s">
        <v>893</v>
      </c>
      <c r="D40" s="7" t="s">
        <v>772</v>
      </c>
      <c r="E40" s="10">
        <f>'Z 1'!S350</f>
        <v>42000</v>
      </c>
      <c r="F40" s="10">
        <f>F41</f>
        <v>42000</v>
      </c>
      <c r="G40" s="22">
        <v>0</v>
      </c>
    </row>
    <row r="41" spans="1:7" ht="12.75">
      <c r="A41" s="20"/>
      <c r="B41" s="20"/>
      <c r="C41" s="33" t="s">
        <v>736</v>
      </c>
      <c r="D41" s="32" t="s">
        <v>826</v>
      </c>
      <c r="E41" s="23">
        <v>0</v>
      </c>
      <c r="F41" s="23">
        <f>'Z 2'!L79</f>
        <v>42000</v>
      </c>
      <c r="G41" s="22">
        <v>0</v>
      </c>
    </row>
    <row r="42" spans="1:7" ht="25.5">
      <c r="A42" s="20" t="s">
        <v>769</v>
      </c>
      <c r="B42" s="20" t="s">
        <v>773</v>
      </c>
      <c r="C42" s="20" t="s">
        <v>893</v>
      </c>
      <c r="D42" s="7" t="s">
        <v>774</v>
      </c>
      <c r="E42" s="10">
        <f>'Z 1'!S351</f>
        <v>8000</v>
      </c>
      <c r="F42" s="10">
        <f>F43</f>
        <v>8000</v>
      </c>
      <c r="G42" s="22">
        <v>0</v>
      </c>
    </row>
    <row r="43" spans="1:7" ht="12.75">
      <c r="A43" s="33"/>
      <c r="B43" s="33"/>
      <c r="C43" s="33" t="s">
        <v>736</v>
      </c>
      <c r="D43" s="32" t="s">
        <v>826</v>
      </c>
      <c r="E43" s="23">
        <v>0</v>
      </c>
      <c r="F43" s="23">
        <f>'Z 2'!L81</f>
        <v>8000</v>
      </c>
      <c r="G43" s="24">
        <v>0</v>
      </c>
    </row>
    <row r="44" spans="1:7" ht="12.75">
      <c r="A44" s="20" t="s">
        <v>769</v>
      </c>
      <c r="B44" s="20" t="s">
        <v>775</v>
      </c>
      <c r="C44" s="20" t="s">
        <v>893</v>
      </c>
      <c r="D44" s="10" t="s">
        <v>776</v>
      </c>
      <c r="E44" s="10">
        <f>'Z 1'!S352</f>
        <v>149352</v>
      </c>
      <c r="F44" s="10">
        <f>F45+F47+F48+F50+F49+F51+F52+F53+F54+F46</f>
        <v>149352</v>
      </c>
      <c r="G44" s="22">
        <v>0</v>
      </c>
    </row>
    <row r="45" spans="1:7" ht="25.5">
      <c r="A45" s="31"/>
      <c r="B45" s="20"/>
      <c r="C45" s="33" t="s">
        <v>720</v>
      </c>
      <c r="D45" s="32" t="s">
        <v>721</v>
      </c>
      <c r="E45" s="23">
        <v>0</v>
      </c>
      <c r="F45" s="23">
        <f>'Z 2'!L83</f>
        <v>45980</v>
      </c>
      <c r="G45" s="24">
        <v>0</v>
      </c>
    </row>
    <row r="46" spans="1:7" ht="25.5">
      <c r="A46" s="31"/>
      <c r="B46" s="20"/>
      <c r="C46" s="33" t="s">
        <v>722</v>
      </c>
      <c r="D46" s="14" t="s">
        <v>723</v>
      </c>
      <c r="E46" s="23">
        <v>0</v>
      </c>
      <c r="F46" s="23">
        <f>'Z 2'!L84</f>
        <v>60940</v>
      </c>
      <c r="G46" s="24"/>
    </row>
    <row r="47" spans="1:7" ht="12.75">
      <c r="A47" s="65"/>
      <c r="B47" s="64"/>
      <c r="C47" s="72" t="s">
        <v>724</v>
      </c>
      <c r="D47" s="23" t="s">
        <v>137</v>
      </c>
      <c r="E47" s="23">
        <v>0</v>
      </c>
      <c r="F47" s="23">
        <f>'Z 2'!L85</f>
        <v>8433</v>
      </c>
      <c r="G47" s="24">
        <v>0</v>
      </c>
    </row>
    <row r="48" spans="1:7" ht="12.75">
      <c r="A48" s="68"/>
      <c r="B48" s="73"/>
      <c r="C48" s="74" t="s">
        <v>753</v>
      </c>
      <c r="D48" s="32" t="s">
        <v>793</v>
      </c>
      <c r="E48" s="23">
        <v>0</v>
      </c>
      <c r="F48" s="23">
        <f>'Z 2'!L86</f>
        <v>20510</v>
      </c>
      <c r="G48" s="24">
        <v>0</v>
      </c>
    </row>
    <row r="49" spans="1:7" ht="13.5" customHeight="1">
      <c r="A49" s="68"/>
      <c r="B49" s="73"/>
      <c r="C49" s="74" t="s">
        <v>728</v>
      </c>
      <c r="D49" s="32" t="s">
        <v>729</v>
      </c>
      <c r="E49" s="23">
        <v>0</v>
      </c>
      <c r="F49" s="23">
        <f>'Z 2'!L87</f>
        <v>2762</v>
      </c>
      <c r="G49" s="24">
        <v>0</v>
      </c>
    </row>
    <row r="50" spans="1:7" ht="15" customHeight="1">
      <c r="A50" s="68"/>
      <c r="B50" s="73"/>
      <c r="C50" s="72" t="s">
        <v>730</v>
      </c>
      <c r="D50" s="23" t="s">
        <v>731</v>
      </c>
      <c r="E50" s="23">
        <v>0</v>
      </c>
      <c r="F50" s="23">
        <f>'Z 2'!L89</f>
        <v>2600</v>
      </c>
      <c r="G50" s="24">
        <v>0</v>
      </c>
    </row>
    <row r="51" spans="1:7" ht="15" customHeight="1">
      <c r="A51" s="68"/>
      <c r="B51" s="73"/>
      <c r="C51" s="72" t="s">
        <v>736</v>
      </c>
      <c r="D51" s="23" t="s">
        <v>826</v>
      </c>
      <c r="E51" s="23">
        <v>0</v>
      </c>
      <c r="F51" s="23">
        <f>'Z 2'!L90</f>
        <v>2657</v>
      </c>
      <c r="G51" s="24">
        <v>0</v>
      </c>
    </row>
    <row r="52" spans="1:7" ht="15" customHeight="1">
      <c r="A52" s="68"/>
      <c r="B52" s="73"/>
      <c r="C52" s="72" t="s">
        <v>738</v>
      </c>
      <c r="D52" s="23" t="s">
        <v>739</v>
      </c>
      <c r="E52" s="23">
        <v>0</v>
      </c>
      <c r="F52" s="23">
        <f>'Z 2'!L91</f>
        <v>500</v>
      </c>
      <c r="G52" s="24">
        <v>0</v>
      </c>
    </row>
    <row r="53" spans="1:7" ht="15" customHeight="1">
      <c r="A53" s="68"/>
      <c r="B53" s="73"/>
      <c r="C53" s="72" t="s">
        <v>740</v>
      </c>
      <c r="D53" s="23" t="s">
        <v>897</v>
      </c>
      <c r="E53" s="23">
        <v>0</v>
      </c>
      <c r="F53" s="23">
        <v>2000</v>
      </c>
      <c r="G53" s="24"/>
    </row>
    <row r="54" spans="1:7" ht="15" customHeight="1">
      <c r="A54" s="71"/>
      <c r="B54" s="57"/>
      <c r="C54" s="72" t="s">
        <v>742</v>
      </c>
      <c r="D54" s="23" t="s">
        <v>743</v>
      </c>
      <c r="E54" s="23">
        <v>0</v>
      </c>
      <c r="F54" s="23">
        <f>'Z 2'!L93</f>
        <v>2970</v>
      </c>
      <c r="G54" s="24">
        <v>0</v>
      </c>
    </row>
    <row r="55" spans="1:7" ht="34.5" customHeight="1">
      <c r="A55" s="76" t="s">
        <v>769</v>
      </c>
      <c r="B55" s="73" t="s">
        <v>775</v>
      </c>
      <c r="C55" s="387" t="s">
        <v>894</v>
      </c>
      <c r="D55" s="7" t="s">
        <v>839</v>
      </c>
      <c r="E55" s="10">
        <f>'Z 1'!S353</f>
        <v>3500</v>
      </c>
      <c r="F55" s="10">
        <f>F56</f>
        <v>3500</v>
      </c>
      <c r="G55" s="22">
        <v>0</v>
      </c>
    </row>
    <row r="56" spans="1:7" ht="15" customHeight="1">
      <c r="A56" s="68"/>
      <c r="B56" s="73"/>
      <c r="C56" s="72" t="s">
        <v>762</v>
      </c>
      <c r="D56" s="32" t="s">
        <v>843</v>
      </c>
      <c r="E56" s="23"/>
      <c r="F56" s="23">
        <f>'Z 2'!L94</f>
        <v>3500</v>
      </c>
      <c r="G56" s="24">
        <v>0</v>
      </c>
    </row>
    <row r="57" spans="1:7" ht="12.75">
      <c r="A57" s="73" t="s">
        <v>778</v>
      </c>
      <c r="B57" s="73" t="s">
        <v>780</v>
      </c>
      <c r="C57" s="20" t="s">
        <v>893</v>
      </c>
      <c r="D57" s="10" t="s">
        <v>781</v>
      </c>
      <c r="E57" s="10">
        <f>'Z 1'!S355</f>
        <v>94258</v>
      </c>
      <c r="F57" s="10">
        <f>F59+F60+F61+F62+F63+F64+F65+F66+F67+F58</f>
        <v>94258</v>
      </c>
      <c r="G57" s="22">
        <v>0</v>
      </c>
    </row>
    <row r="58" spans="1:7" ht="12.75">
      <c r="A58" s="64"/>
      <c r="B58" s="64"/>
      <c r="C58" s="72" t="s">
        <v>783</v>
      </c>
      <c r="D58" s="23" t="s">
        <v>784</v>
      </c>
      <c r="E58" s="23">
        <v>0</v>
      </c>
      <c r="F58" s="23">
        <v>10000</v>
      </c>
      <c r="G58" s="24">
        <v>0</v>
      </c>
    </row>
    <row r="59" spans="1:7" ht="25.5">
      <c r="A59" s="69"/>
      <c r="B59" s="73"/>
      <c r="C59" s="72" t="s">
        <v>720</v>
      </c>
      <c r="D59" s="32" t="s">
        <v>721</v>
      </c>
      <c r="E59" s="23">
        <v>0</v>
      </c>
      <c r="F59" s="23">
        <f>'Z 2'!L97</f>
        <v>55440</v>
      </c>
      <c r="G59" s="24">
        <v>0</v>
      </c>
    </row>
    <row r="60" spans="1:7" ht="12.75">
      <c r="A60" s="69"/>
      <c r="B60" s="73"/>
      <c r="C60" s="72" t="s">
        <v>724</v>
      </c>
      <c r="D60" s="23" t="s">
        <v>137</v>
      </c>
      <c r="E60" s="23">
        <v>0</v>
      </c>
      <c r="F60" s="23">
        <f>'Z 2'!L98</f>
        <v>4590</v>
      </c>
      <c r="G60" s="24">
        <v>0</v>
      </c>
    </row>
    <row r="61" spans="1:7" ht="12.75">
      <c r="A61" s="69"/>
      <c r="B61" s="73"/>
      <c r="C61" s="74" t="s">
        <v>753</v>
      </c>
      <c r="D61" s="32" t="s">
        <v>793</v>
      </c>
      <c r="E61" s="23">
        <v>0</v>
      </c>
      <c r="F61" s="23">
        <f>'Z 2'!L99</f>
        <v>10343</v>
      </c>
      <c r="G61" s="24">
        <v>0</v>
      </c>
    </row>
    <row r="62" spans="1:7" ht="12.75">
      <c r="A62" s="69"/>
      <c r="B62" s="73"/>
      <c r="C62" s="74" t="s">
        <v>728</v>
      </c>
      <c r="D62" s="32" t="s">
        <v>729</v>
      </c>
      <c r="E62" s="23">
        <v>0</v>
      </c>
      <c r="F62" s="23">
        <f>'Z 2'!L100</f>
        <v>1471</v>
      </c>
      <c r="G62" s="24">
        <v>0</v>
      </c>
    </row>
    <row r="63" spans="1:7" ht="12.75">
      <c r="A63" s="69"/>
      <c r="B63" s="73"/>
      <c r="C63" s="74" t="s">
        <v>459</v>
      </c>
      <c r="D63" s="32" t="s">
        <v>460</v>
      </c>
      <c r="E63" s="23">
        <v>0</v>
      </c>
      <c r="F63" s="23">
        <v>7160</v>
      </c>
      <c r="G63" s="24"/>
    </row>
    <row r="64" spans="1:7" ht="12.75">
      <c r="A64" s="69"/>
      <c r="B64" s="73"/>
      <c r="C64" s="72" t="s">
        <v>730</v>
      </c>
      <c r="D64" s="23" t="s">
        <v>731</v>
      </c>
      <c r="E64" s="23">
        <v>0</v>
      </c>
      <c r="F64" s="23">
        <v>559</v>
      </c>
      <c r="G64" s="24">
        <v>0</v>
      </c>
    </row>
    <row r="65" spans="1:7" ht="12.75">
      <c r="A65" s="69"/>
      <c r="B65" s="73"/>
      <c r="C65" s="72" t="s">
        <v>736</v>
      </c>
      <c r="D65" s="23" t="s">
        <v>826</v>
      </c>
      <c r="E65" s="23">
        <v>0</v>
      </c>
      <c r="F65" s="23">
        <v>1939</v>
      </c>
      <c r="G65" s="24">
        <v>0</v>
      </c>
    </row>
    <row r="66" spans="1:7" ht="12.75">
      <c r="A66" s="69"/>
      <c r="B66" s="73"/>
      <c r="C66" s="72" t="s">
        <v>738</v>
      </c>
      <c r="D66" s="23" t="s">
        <v>739</v>
      </c>
      <c r="E66" s="23">
        <v>0</v>
      </c>
      <c r="F66" s="23">
        <v>900</v>
      </c>
      <c r="G66" s="24">
        <v>0</v>
      </c>
    </row>
    <row r="67" spans="1:7" ht="12.75">
      <c r="A67" s="61"/>
      <c r="B67" s="57"/>
      <c r="C67" s="72" t="s">
        <v>742</v>
      </c>
      <c r="D67" s="23" t="s">
        <v>743</v>
      </c>
      <c r="E67" s="23">
        <v>0</v>
      </c>
      <c r="F67" s="23">
        <v>1856</v>
      </c>
      <c r="G67" s="24">
        <v>0</v>
      </c>
    </row>
    <row r="68" spans="1:7" ht="15.75" customHeight="1">
      <c r="A68" s="73" t="s">
        <v>778</v>
      </c>
      <c r="B68" s="73" t="s">
        <v>791</v>
      </c>
      <c r="C68" s="20" t="s">
        <v>893</v>
      </c>
      <c r="D68" s="10" t="s">
        <v>792</v>
      </c>
      <c r="E68" s="10">
        <f>'Z 1'!S356</f>
        <v>13000</v>
      </c>
      <c r="F68" s="10">
        <f>F69+F70+F71+F72+F73+F74+F75</f>
        <v>13000</v>
      </c>
      <c r="G68" s="22">
        <v>0</v>
      </c>
    </row>
    <row r="69" spans="1:7" ht="15.75" customHeight="1">
      <c r="A69" s="75"/>
      <c r="B69" s="64"/>
      <c r="C69" s="72" t="s">
        <v>718</v>
      </c>
      <c r="D69" s="23" t="s">
        <v>164</v>
      </c>
      <c r="E69" s="23">
        <v>0</v>
      </c>
      <c r="F69" s="23">
        <f>'Z 2'!L143</f>
        <v>6300</v>
      </c>
      <c r="G69" s="24">
        <v>0</v>
      </c>
    </row>
    <row r="70" spans="1:7" ht="15.75" customHeight="1">
      <c r="A70" s="76"/>
      <c r="B70" s="73"/>
      <c r="C70" s="72" t="s">
        <v>753</v>
      </c>
      <c r="D70" s="23" t="s">
        <v>793</v>
      </c>
      <c r="E70" s="23">
        <v>0</v>
      </c>
      <c r="F70" s="23">
        <f>'Z 2'!L144</f>
        <v>560</v>
      </c>
      <c r="G70" s="24">
        <v>0</v>
      </c>
    </row>
    <row r="71" spans="1:7" ht="15.75" customHeight="1">
      <c r="A71" s="76"/>
      <c r="B71" s="73"/>
      <c r="C71" s="72" t="s">
        <v>728</v>
      </c>
      <c r="D71" s="23" t="s">
        <v>729</v>
      </c>
      <c r="E71" s="23">
        <v>0</v>
      </c>
      <c r="F71" s="23">
        <f>'Z 2'!L145</f>
        <v>80</v>
      </c>
      <c r="G71" s="24">
        <v>0</v>
      </c>
    </row>
    <row r="72" spans="1:7" ht="15.75" customHeight="1">
      <c r="A72" s="76"/>
      <c r="B72" s="73"/>
      <c r="C72" s="72" t="s">
        <v>459</v>
      </c>
      <c r="D72" s="23" t="s">
        <v>460</v>
      </c>
      <c r="E72" s="23">
        <v>0</v>
      </c>
      <c r="F72" s="23">
        <v>4350</v>
      </c>
      <c r="G72" s="24"/>
    </row>
    <row r="73" spans="1:7" ht="15.75" customHeight="1">
      <c r="A73" s="76"/>
      <c r="B73" s="73"/>
      <c r="C73" s="72" t="s">
        <v>730</v>
      </c>
      <c r="D73" s="23" t="s">
        <v>731</v>
      </c>
      <c r="E73" s="23">
        <v>0</v>
      </c>
      <c r="F73" s="23">
        <f>'Z 2'!L148</f>
        <v>1060</v>
      </c>
      <c r="G73" s="24">
        <v>0</v>
      </c>
    </row>
    <row r="74" spans="1:7" ht="15.75" customHeight="1">
      <c r="A74" s="76"/>
      <c r="B74" s="73"/>
      <c r="C74" s="72" t="s">
        <v>736</v>
      </c>
      <c r="D74" s="23" t="s">
        <v>826</v>
      </c>
      <c r="E74" s="23">
        <v>0</v>
      </c>
      <c r="F74" s="23">
        <f>'Z 2'!L149</f>
        <v>350</v>
      </c>
      <c r="G74" s="24">
        <v>0</v>
      </c>
    </row>
    <row r="75" spans="1:7" ht="15.75" customHeight="1">
      <c r="A75" s="77"/>
      <c r="B75" s="57"/>
      <c r="C75" s="72" t="s">
        <v>738</v>
      </c>
      <c r="D75" s="23" t="s">
        <v>739</v>
      </c>
      <c r="E75" s="23">
        <v>0</v>
      </c>
      <c r="F75" s="23">
        <f>'Z 2'!L150</f>
        <v>300</v>
      </c>
      <c r="G75" s="24">
        <v>0</v>
      </c>
    </row>
    <row r="76" spans="1:7" ht="12.75" hidden="1">
      <c r="A76" s="73" t="s">
        <v>796</v>
      </c>
      <c r="B76" s="73" t="s">
        <v>798</v>
      </c>
      <c r="C76" s="20" t="s">
        <v>113</v>
      </c>
      <c r="D76" s="10" t="s">
        <v>810</v>
      </c>
      <c r="E76" s="10">
        <v>0</v>
      </c>
      <c r="F76" s="10">
        <f>F79+F81+F82+F83+F84+F86+F87+F88+F80+F89+F90+F91+F92+F93+F94+F95+F96+F77+F78+F85</f>
        <v>0</v>
      </c>
      <c r="G76" s="22">
        <v>0</v>
      </c>
    </row>
    <row r="77" spans="1:7" ht="12.75" hidden="1">
      <c r="A77" s="75"/>
      <c r="B77" s="64"/>
      <c r="C77" s="72" t="s">
        <v>711</v>
      </c>
      <c r="D77" s="23" t="s">
        <v>165</v>
      </c>
      <c r="E77" s="23">
        <v>0</v>
      </c>
      <c r="F77" s="23">
        <v>0</v>
      </c>
      <c r="G77" s="24">
        <v>0</v>
      </c>
    </row>
    <row r="78" spans="1:7" ht="12.75" hidden="1">
      <c r="A78" s="76"/>
      <c r="B78" s="73"/>
      <c r="C78" s="72" t="s">
        <v>718</v>
      </c>
      <c r="D78" s="23" t="s">
        <v>164</v>
      </c>
      <c r="E78" s="23">
        <v>0</v>
      </c>
      <c r="F78" s="23">
        <v>0</v>
      </c>
      <c r="G78" s="24">
        <v>0</v>
      </c>
    </row>
    <row r="79" spans="1:7" ht="25.5" hidden="1">
      <c r="A79" s="68"/>
      <c r="B79" s="69"/>
      <c r="C79" s="67" t="s">
        <v>720</v>
      </c>
      <c r="D79" s="14" t="s">
        <v>721</v>
      </c>
      <c r="E79" s="11">
        <v>0</v>
      </c>
      <c r="F79" s="11">
        <v>0</v>
      </c>
      <c r="G79" s="27">
        <v>0</v>
      </c>
    </row>
    <row r="80" spans="1:7" ht="25.5" hidden="1">
      <c r="A80" s="68"/>
      <c r="B80" s="69"/>
      <c r="C80" s="67" t="s">
        <v>722</v>
      </c>
      <c r="D80" s="14" t="s">
        <v>811</v>
      </c>
      <c r="E80" s="11">
        <v>0</v>
      </c>
      <c r="F80" s="11">
        <v>0</v>
      </c>
      <c r="G80" s="27">
        <v>0</v>
      </c>
    </row>
    <row r="81" spans="1:7" ht="12.75" hidden="1">
      <c r="A81" s="68"/>
      <c r="B81" s="69"/>
      <c r="C81" s="67" t="s">
        <v>724</v>
      </c>
      <c r="D81" s="14" t="s">
        <v>166</v>
      </c>
      <c r="E81" s="11">
        <v>0</v>
      </c>
      <c r="F81" s="11">
        <v>0</v>
      </c>
      <c r="G81" s="27">
        <v>0</v>
      </c>
    </row>
    <row r="82" spans="1:7" ht="25.5" hidden="1">
      <c r="A82" s="68"/>
      <c r="B82" s="69"/>
      <c r="C82" s="67" t="s">
        <v>812</v>
      </c>
      <c r="D82" s="14" t="s">
        <v>167</v>
      </c>
      <c r="E82" s="11">
        <v>0</v>
      </c>
      <c r="F82" s="11">
        <v>0</v>
      </c>
      <c r="G82" s="27">
        <v>0</v>
      </c>
    </row>
    <row r="83" spans="1:7" ht="12.75" hidden="1">
      <c r="A83" s="68"/>
      <c r="B83" s="69"/>
      <c r="C83" s="67" t="s">
        <v>814</v>
      </c>
      <c r="D83" s="11" t="s">
        <v>168</v>
      </c>
      <c r="E83" s="11">
        <v>0</v>
      </c>
      <c r="F83" s="11">
        <v>0</v>
      </c>
      <c r="G83" s="27">
        <v>0</v>
      </c>
    </row>
    <row r="84" spans="1:7" ht="12.75" hidden="1">
      <c r="A84" s="68"/>
      <c r="B84" s="69"/>
      <c r="C84" s="67" t="s">
        <v>816</v>
      </c>
      <c r="D84" s="11" t="s">
        <v>817</v>
      </c>
      <c r="E84" s="11">
        <v>0</v>
      </c>
      <c r="F84" s="11">
        <v>0</v>
      </c>
      <c r="G84" s="27">
        <v>0</v>
      </c>
    </row>
    <row r="85" spans="1:7" ht="38.25" hidden="1">
      <c r="A85" s="68"/>
      <c r="B85" s="69"/>
      <c r="C85" s="67" t="s">
        <v>818</v>
      </c>
      <c r="D85" s="14" t="s">
        <v>186</v>
      </c>
      <c r="E85" s="11">
        <v>0</v>
      </c>
      <c r="F85" s="11">
        <v>0</v>
      </c>
      <c r="G85" s="27"/>
    </row>
    <row r="86" spans="1:7" ht="12.75" hidden="1">
      <c r="A86" s="68"/>
      <c r="B86" s="69"/>
      <c r="C86" s="67" t="s">
        <v>753</v>
      </c>
      <c r="D86" s="14" t="s">
        <v>169</v>
      </c>
      <c r="E86" s="11">
        <v>0</v>
      </c>
      <c r="F86" s="11">
        <v>0</v>
      </c>
      <c r="G86" s="27">
        <v>0</v>
      </c>
    </row>
    <row r="87" spans="1:7" ht="18" customHeight="1" hidden="1">
      <c r="A87" s="68"/>
      <c r="B87" s="69"/>
      <c r="C87" s="70" t="s">
        <v>728</v>
      </c>
      <c r="D87" s="14" t="s">
        <v>729</v>
      </c>
      <c r="E87" s="11">
        <v>0</v>
      </c>
      <c r="F87" s="11">
        <v>0</v>
      </c>
      <c r="G87" s="27">
        <v>0</v>
      </c>
    </row>
    <row r="88" spans="1:7" ht="12.75" hidden="1">
      <c r="A88" s="68"/>
      <c r="B88" s="69"/>
      <c r="C88" s="67" t="s">
        <v>730</v>
      </c>
      <c r="D88" s="11" t="s">
        <v>731</v>
      </c>
      <c r="E88" s="11">
        <v>0</v>
      </c>
      <c r="F88" s="11">
        <v>0</v>
      </c>
      <c r="G88" s="27">
        <v>0</v>
      </c>
    </row>
    <row r="89" spans="1:7" ht="12.75" hidden="1">
      <c r="A89" s="68"/>
      <c r="B89" s="69"/>
      <c r="C89" s="67" t="s">
        <v>820</v>
      </c>
      <c r="D89" s="11" t="s">
        <v>170</v>
      </c>
      <c r="E89" s="11">
        <v>0</v>
      </c>
      <c r="F89" s="11">
        <v>0</v>
      </c>
      <c r="G89" s="27">
        <v>0</v>
      </c>
    </row>
    <row r="90" spans="1:7" ht="12.75" hidden="1">
      <c r="A90" s="68"/>
      <c r="B90" s="69"/>
      <c r="C90" s="67" t="s">
        <v>822</v>
      </c>
      <c r="D90" s="11" t="s">
        <v>823</v>
      </c>
      <c r="E90" s="11">
        <v>0</v>
      </c>
      <c r="F90" s="11">
        <v>0</v>
      </c>
      <c r="G90" s="27">
        <v>0</v>
      </c>
    </row>
    <row r="91" spans="1:7" ht="12.75" hidden="1">
      <c r="A91" s="68"/>
      <c r="B91" s="69"/>
      <c r="C91" s="67" t="s">
        <v>732</v>
      </c>
      <c r="D91" s="11" t="s">
        <v>824</v>
      </c>
      <c r="E91" s="11">
        <v>0</v>
      </c>
      <c r="F91" s="11">
        <v>0</v>
      </c>
      <c r="G91" s="27">
        <v>0</v>
      </c>
    </row>
    <row r="92" spans="1:7" ht="12.75" hidden="1">
      <c r="A92" s="68"/>
      <c r="B92" s="69"/>
      <c r="C92" s="67" t="s">
        <v>734</v>
      </c>
      <c r="D92" s="11" t="s">
        <v>825</v>
      </c>
      <c r="E92" s="11">
        <v>0</v>
      </c>
      <c r="F92" s="11">
        <v>0</v>
      </c>
      <c r="G92" s="27">
        <v>0</v>
      </c>
    </row>
    <row r="93" spans="1:7" ht="12.75" hidden="1">
      <c r="A93" s="68"/>
      <c r="B93" s="69"/>
      <c r="C93" s="67" t="s">
        <v>736</v>
      </c>
      <c r="D93" s="11" t="s">
        <v>826</v>
      </c>
      <c r="E93" s="11">
        <v>0</v>
      </c>
      <c r="F93" s="11">
        <v>0</v>
      </c>
      <c r="G93" s="27">
        <v>0</v>
      </c>
    </row>
    <row r="94" spans="1:7" ht="12.75" hidden="1">
      <c r="A94" s="68"/>
      <c r="B94" s="69"/>
      <c r="C94" s="267" t="s">
        <v>738</v>
      </c>
      <c r="D94" s="107" t="s">
        <v>739</v>
      </c>
      <c r="E94" s="107">
        <v>0</v>
      </c>
      <c r="F94" s="107">
        <v>0</v>
      </c>
      <c r="G94" s="54">
        <v>0</v>
      </c>
    </row>
    <row r="95" spans="1:7" ht="12.75" hidden="1">
      <c r="A95" s="31"/>
      <c r="B95" s="31"/>
      <c r="C95" s="31" t="s">
        <v>742</v>
      </c>
      <c r="D95" s="11" t="s">
        <v>743</v>
      </c>
      <c r="E95" s="11">
        <v>0</v>
      </c>
      <c r="F95" s="11">
        <v>0</v>
      </c>
      <c r="G95" s="27">
        <v>0</v>
      </c>
    </row>
    <row r="96" spans="1:7" ht="12.75" hidden="1">
      <c r="A96" s="31"/>
      <c r="B96" s="31"/>
      <c r="C96" s="31" t="s">
        <v>758</v>
      </c>
      <c r="D96" s="11" t="s">
        <v>759</v>
      </c>
      <c r="E96" s="11">
        <v>0</v>
      </c>
      <c r="F96" s="11">
        <v>0</v>
      </c>
      <c r="G96" s="27">
        <v>0</v>
      </c>
    </row>
    <row r="97" spans="1:7" ht="24.75" customHeight="1">
      <c r="A97" s="57" t="s">
        <v>796</v>
      </c>
      <c r="B97" s="57" t="s">
        <v>827</v>
      </c>
      <c r="C97" s="20" t="s">
        <v>893</v>
      </c>
      <c r="D97" s="7" t="s">
        <v>184</v>
      </c>
      <c r="E97" s="10">
        <f>'Z 1'!S361</f>
        <v>2007000</v>
      </c>
      <c r="F97" s="10">
        <f>F98+F99+F100+F101+F102+F103+F104+F106+F105+F113+F115+F116+F117+F119+F120+F121+F122+F123+F124+F125+F114+F118</f>
        <v>2007000</v>
      </c>
      <c r="G97" s="22">
        <v>0</v>
      </c>
    </row>
    <row r="98" spans="1:7" ht="24.75" customHeight="1">
      <c r="A98" s="20"/>
      <c r="B98" s="33"/>
      <c r="C98" s="33" t="s">
        <v>722</v>
      </c>
      <c r="D98" s="32" t="s">
        <v>185</v>
      </c>
      <c r="E98" s="23">
        <v>0</v>
      </c>
      <c r="F98" s="23">
        <f>'Z 2'!L187</f>
        <v>19000</v>
      </c>
      <c r="G98" s="24">
        <v>0</v>
      </c>
    </row>
    <row r="99" spans="1:7" ht="16.5" customHeight="1">
      <c r="A99" s="75"/>
      <c r="B99" s="78"/>
      <c r="C99" s="72" t="s">
        <v>724</v>
      </c>
      <c r="D99" s="32" t="s">
        <v>166</v>
      </c>
      <c r="E99" s="23">
        <v>0</v>
      </c>
      <c r="F99" s="23">
        <f>'Z 2'!L188</f>
        <v>2000</v>
      </c>
      <c r="G99" s="24">
        <v>0</v>
      </c>
    </row>
    <row r="100" spans="1:7" ht="24.75" customHeight="1">
      <c r="A100" s="76"/>
      <c r="B100" s="79"/>
      <c r="C100" s="72" t="s">
        <v>812</v>
      </c>
      <c r="D100" s="14" t="s">
        <v>167</v>
      </c>
      <c r="E100" s="23">
        <v>0</v>
      </c>
      <c r="F100" s="23">
        <f>'Z 2'!L189</f>
        <v>1315000</v>
      </c>
      <c r="G100" s="24">
        <v>0</v>
      </c>
    </row>
    <row r="101" spans="1:7" ht="17.25" customHeight="1">
      <c r="A101" s="76"/>
      <c r="B101" s="79"/>
      <c r="C101" s="72" t="s">
        <v>814</v>
      </c>
      <c r="D101" s="11" t="s">
        <v>168</v>
      </c>
      <c r="E101" s="23">
        <v>0</v>
      </c>
      <c r="F101" s="23">
        <f>'Z 2'!L190</f>
        <v>94000</v>
      </c>
      <c r="G101" s="24">
        <v>0</v>
      </c>
    </row>
    <row r="102" spans="1:7" ht="14.25" customHeight="1">
      <c r="A102" s="76"/>
      <c r="B102" s="79"/>
      <c r="C102" s="67" t="s">
        <v>816</v>
      </c>
      <c r="D102" s="11" t="s">
        <v>817</v>
      </c>
      <c r="E102" s="23">
        <v>0</v>
      </c>
      <c r="F102" s="23">
        <f>'Z 2'!L191</f>
        <v>104000</v>
      </c>
      <c r="G102" s="24">
        <v>0</v>
      </c>
    </row>
    <row r="103" spans="1:7" ht="16.5" customHeight="1">
      <c r="A103" s="76"/>
      <c r="B103" s="79"/>
      <c r="C103" s="67" t="s">
        <v>262</v>
      </c>
      <c r="D103" s="14" t="s">
        <v>553</v>
      </c>
      <c r="E103" s="23">
        <v>0</v>
      </c>
      <c r="F103" s="23">
        <v>100000</v>
      </c>
      <c r="G103" s="24">
        <v>0</v>
      </c>
    </row>
    <row r="104" spans="1:7" ht="17.25" customHeight="1">
      <c r="A104" s="76"/>
      <c r="B104" s="79"/>
      <c r="C104" s="70" t="s">
        <v>753</v>
      </c>
      <c r="D104" s="14" t="s">
        <v>169</v>
      </c>
      <c r="E104" s="23">
        <v>0</v>
      </c>
      <c r="F104" s="23">
        <f>'Z 2'!L193</f>
        <v>3500</v>
      </c>
      <c r="G104" s="24">
        <v>0</v>
      </c>
    </row>
    <row r="105" spans="1:7" ht="16.5" customHeight="1">
      <c r="A105" s="76"/>
      <c r="B105" s="79"/>
      <c r="C105" s="70" t="s">
        <v>728</v>
      </c>
      <c r="D105" s="14" t="s">
        <v>729</v>
      </c>
      <c r="E105" s="23">
        <v>0</v>
      </c>
      <c r="F105" s="23">
        <f>'Z 2'!L194</f>
        <v>500</v>
      </c>
      <c r="G105" s="24">
        <v>0</v>
      </c>
    </row>
    <row r="106" spans="1:7" ht="24" customHeight="1">
      <c r="A106" s="76"/>
      <c r="B106" s="79"/>
      <c r="C106" s="72" t="s">
        <v>260</v>
      </c>
      <c r="D106" s="32" t="s">
        <v>552</v>
      </c>
      <c r="E106" s="23">
        <v>0</v>
      </c>
      <c r="F106" s="23">
        <v>137000</v>
      </c>
      <c r="G106" s="24">
        <v>0</v>
      </c>
    </row>
    <row r="107" spans="1:7" ht="14.25" customHeight="1" hidden="1">
      <c r="A107" s="76" t="s">
        <v>939</v>
      </c>
      <c r="B107" s="73" t="s">
        <v>19</v>
      </c>
      <c r="C107" s="80" t="s">
        <v>113</v>
      </c>
      <c r="D107" s="10" t="s">
        <v>110</v>
      </c>
      <c r="E107" s="10">
        <v>0</v>
      </c>
      <c r="F107" s="10">
        <f>F108+F109+F110+F112+F111</f>
        <v>0</v>
      </c>
      <c r="G107" s="81">
        <v>0</v>
      </c>
    </row>
    <row r="108" spans="1:7" ht="24" customHeight="1" hidden="1">
      <c r="A108" s="76"/>
      <c r="B108" s="73"/>
      <c r="C108" s="72" t="s">
        <v>720</v>
      </c>
      <c r="D108" s="32" t="s">
        <v>721</v>
      </c>
      <c r="E108" s="23">
        <v>0</v>
      </c>
      <c r="F108" s="23">
        <v>0</v>
      </c>
      <c r="G108" s="82">
        <v>0</v>
      </c>
    </row>
    <row r="109" spans="1:7" ht="21.75" customHeight="1" hidden="1">
      <c r="A109" s="76"/>
      <c r="B109" s="73"/>
      <c r="C109" s="72" t="s">
        <v>724</v>
      </c>
      <c r="D109" s="23" t="s">
        <v>137</v>
      </c>
      <c r="E109" s="23">
        <v>0</v>
      </c>
      <c r="F109" s="23">
        <v>0</v>
      </c>
      <c r="G109" s="82">
        <v>0</v>
      </c>
    </row>
    <row r="110" spans="1:7" ht="24.75" customHeight="1" hidden="1">
      <c r="A110" s="76"/>
      <c r="B110" s="73"/>
      <c r="C110" s="74" t="s">
        <v>753</v>
      </c>
      <c r="D110" s="32" t="s">
        <v>793</v>
      </c>
      <c r="E110" s="23">
        <v>0</v>
      </c>
      <c r="F110" s="23">
        <v>0</v>
      </c>
      <c r="G110" s="82">
        <v>0</v>
      </c>
    </row>
    <row r="111" spans="1:7" ht="24.75" customHeight="1" hidden="1">
      <c r="A111" s="76"/>
      <c r="B111" s="73"/>
      <c r="C111" s="74" t="s">
        <v>728</v>
      </c>
      <c r="D111" s="32" t="s">
        <v>729</v>
      </c>
      <c r="E111" s="23">
        <v>0</v>
      </c>
      <c r="F111" s="23">
        <v>0</v>
      </c>
      <c r="G111" s="82">
        <v>0</v>
      </c>
    </row>
    <row r="112" spans="1:7" ht="21.75" customHeight="1" hidden="1">
      <c r="A112" s="76"/>
      <c r="B112" s="73"/>
      <c r="C112" s="72"/>
      <c r="D112" s="23" t="s">
        <v>867</v>
      </c>
      <c r="E112" s="23">
        <v>0</v>
      </c>
      <c r="F112" s="23">
        <v>0</v>
      </c>
      <c r="G112" s="82">
        <v>0</v>
      </c>
    </row>
    <row r="113" spans="1:7" ht="18.75" customHeight="1">
      <c r="A113" s="76"/>
      <c r="B113" s="73"/>
      <c r="C113" s="72" t="s">
        <v>730</v>
      </c>
      <c r="D113" s="23" t="s">
        <v>731</v>
      </c>
      <c r="E113" s="23">
        <v>0</v>
      </c>
      <c r="F113" s="23">
        <v>121000</v>
      </c>
      <c r="G113" s="82">
        <v>0</v>
      </c>
    </row>
    <row r="114" spans="1:7" ht="21.75" customHeight="1">
      <c r="A114" s="76"/>
      <c r="B114" s="73"/>
      <c r="C114" s="72" t="s">
        <v>820</v>
      </c>
      <c r="D114" s="23" t="s">
        <v>170</v>
      </c>
      <c r="E114" s="23">
        <v>0</v>
      </c>
      <c r="F114" s="23">
        <f>'Z 2'!L199</f>
        <v>0</v>
      </c>
      <c r="G114" s="82"/>
    </row>
    <row r="115" spans="1:7" ht="21.75" customHeight="1">
      <c r="A115" s="76"/>
      <c r="B115" s="73"/>
      <c r="C115" s="286" t="s">
        <v>822</v>
      </c>
      <c r="D115" s="175" t="s">
        <v>823</v>
      </c>
      <c r="E115" s="175">
        <v>0</v>
      </c>
      <c r="F115" s="175">
        <f>'Z 2'!L200</f>
        <v>10890</v>
      </c>
      <c r="G115" s="287">
        <v>0</v>
      </c>
    </row>
    <row r="116" spans="1:7" ht="21.75" customHeight="1">
      <c r="A116" s="20"/>
      <c r="B116" s="20"/>
      <c r="C116" s="33" t="s">
        <v>732</v>
      </c>
      <c r="D116" s="23" t="s">
        <v>824</v>
      </c>
      <c r="E116" s="23">
        <v>0</v>
      </c>
      <c r="F116" s="23">
        <f>'Z 2'!L201</f>
        <v>18000</v>
      </c>
      <c r="G116" s="82">
        <v>0</v>
      </c>
    </row>
    <row r="117" spans="1:7" ht="21.75" customHeight="1">
      <c r="A117" s="20"/>
      <c r="B117" s="20"/>
      <c r="C117" s="33" t="s">
        <v>734</v>
      </c>
      <c r="D117" s="23" t="s">
        <v>825</v>
      </c>
      <c r="E117" s="23">
        <v>0</v>
      </c>
      <c r="F117" s="23">
        <f>'Z 2'!L202</f>
        <v>5780</v>
      </c>
      <c r="G117" s="82">
        <v>0</v>
      </c>
    </row>
    <row r="118" spans="1:7" ht="21.75" customHeight="1">
      <c r="A118" s="76"/>
      <c r="B118" s="73"/>
      <c r="C118" s="288" t="s">
        <v>800</v>
      </c>
      <c r="D118" s="289" t="s">
        <v>801</v>
      </c>
      <c r="E118" s="289">
        <v>0</v>
      </c>
      <c r="F118" s="289">
        <f>'Z 2'!L203</f>
        <v>6500</v>
      </c>
      <c r="G118" s="290"/>
    </row>
    <row r="119" spans="1:7" ht="21.75" customHeight="1">
      <c r="A119" s="76"/>
      <c r="B119" s="73"/>
      <c r="C119" s="288" t="s">
        <v>736</v>
      </c>
      <c r="D119" s="289" t="s">
        <v>826</v>
      </c>
      <c r="E119" s="289">
        <v>0</v>
      </c>
      <c r="F119" s="289">
        <f>'Z 2'!L204</f>
        <v>45000</v>
      </c>
      <c r="G119" s="290">
        <v>0</v>
      </c>
    </row>
    <row r="120" spans="1:7" ht="21.75" customHeight="1">
      <c r="A120" s="76"/>
      <c r="B120" s="73"/>
      <c r="C120" s="72" t="s">
        <v>738</v>
      </c>
      <c r="D120" s="23" t="s">
        <v>739</v>
      </c>
      <c r="E120" s="23">
        <v>0</v>
      </c>
      <c r="F120" s="23">
        <f>'Z 2'!L205</f>
        <v>7000</v>
      </c>
      <c r="G120" s="82">
        <v>0</v>
      </c>
    </row>
    <row r="121" spans="1:7" ht="17.25" customHeight="1">
      <c r="A121" s="76"/>
      <c r="B121" s="73"/>
      <c r="C121" s="72" t="s">
        <v>740</v>
      </c>
      <c r="D121" s="23" t="s">
        <v>741</v>
      </c>
      <c r="E121" s="23">
        <v>0</v>
      </c>
      <c r="F121" s="23">
        <f>'Z 2'!L206</f>
        <v>6500</v>
      </c>
      <c r="G121" s="82">
        <v>0</v>
      </c>
    </row>
    <row r="122" spans="1:7" ht="18" customHeight="1">
      <c r="A122" s="76"/>
      <c r="B122" s="73"/>
      <c r="C122" s="72" t="s">
        <v>742</v>
      </c>
      <c r="D122" s="23" t="s">
        <v>743</v>
      </c>
      <c r="E122" s="23">
        <v>0</v>
      </c>
      <c r="F122" s="23">
        <f>'Z 2'!L208</f>
        <v>750</v>
      </c>
      <c r="G122" s="82">
        <v>0</v>
      </c>
    </row>
    <row r="123" spans="1:7" ht="18.75" customHeight="1">
      <c r="A123" s="76"/>
      <c r="B123" s="73"/>
      <c r="C123" s="72" t="s">
        <v>799</v>
      </c>
      <c r="D123" s="23" t="s">
        <v>809</v>
      </c>
      <c r="E123" s="23">
        <v>0</v>
      </c>
      <c r="F123" s="23">
        <v>10420</v>
      </c>
      <c r="G123" s="82">
        <v>0</v>
      </c>
    </row>
    <row r="124" spans="1:7" ht="15.75" customHeight="1">
      <c r="A124" s="76"/>
      <c r="B124" s="73"/>
      <c r="C124" s="72" t="s">
        <v>830</v>
      </c>
      <c r="D124" s="23" t="s">
        <v>187</v>
      </c>
      <c r="E124" s="23">
        <v>0</v>
      </c>
      <c r="F124" s="23">
        <f>'Z 2'!L210</f>
        <v>160</v>
      </c>
      <c r="G124" s="82">
        <v>0</v>
      </c>
    </row>
    <row r="125" spans="1:7" ht="21.75" customHeight="1" hidden="1">
      <c r="A125" s="77"/>
      <c r="B125" s="57"/>
      <c r="C125" s="72" t="s">
        <v>760</v>
      </c>
      <c r="D125" s="23" t="s">
        <v>188</v>
      </c>
      <c r="E125" s="23">
        <v>0</v>
      </c>
      <c r="F125" s="23">
        <v>0</v>
      </c>
      <c r="G125" s="82">
        <v>0</v>
      </c>
    </row>
    <row r="126" spans="1:7" ht="18" customHeight="1">
      <c r="A126" s="77" t="s">
        <v>796</v>
      </c>
      <c r="B126" s="57" t="s">
        <v>264</v>
      </c>
      <c r="C126" s="387" t="s">
        <v>894</v>
      </c>
      <c r="D126" s="10" t="s">
        <v>918</v>
      </c>
      <c r="E126" s="10">
        <v>21000</v>
      </c>
      <c r="F126" s="10">
        <f>F127</f>
        <v>21000</v>
      </c>
      <c r="G126" s="81"/>
    </row>
    <row r="127" spans="1:7" ht="15.75" customHeight="1">
      <c r="A127" s="77"/>
      <c r="B127" s="57"/>
      <c r="C127" s="72" t="s">
        <v>762</v>
      </c>
      <c r="D127" s="23" t="s">
        <v>554</v>
      </c>
      <c r="E127" s="23">
        <v>0</v>
      </c>
      <c r="F127" s="23">
        <v>21000</v>
      </c>
      <c r="G127" s="82"/>
    </row>
    <row r="128" spans="1:7" ht="28.5" customHeight="1">
      <c r="A128" s="57" t="s">
        <v>939</v>
      </c>
      <c r="B128" s="57" t="s">
        <v>25</v>
      </c>
      <c r="C128" s="20" t="s">
        <v>893</v>
      </c>
      <c r="D128" s="7" t="s">
        <v>189</v>
      </c>
      <c r="E128" s="10">
        <f>'Z 1'!S365</f>
        <v>467000</v>
      </c>
      <c r="F128" s="10">
        <f>F129</f>
        <v>467000</v>
      </c>
      <c r="G128" s="81">
        <v>0</v>
      </c>
    </row>
    <row r="129" spans="1:7" ht="16.5" customHeight="1">
      <c r="A129" s="20"/>
      <c r="B129" s="20"/>
      <c r="C129" s="33" t="s">
        <v>27</v>
      </c>
      <c r="D129" s="32" t="s">
        <v>190</v>
      </c>
      <c r="E129" s="23">
        <v>0</v>
      </c>
      <c r="F129" s="23">
        <f>'Z 2'!L411</f>
        <v>467000</v>
      </c>
      <c r="G129" s="82">
        <v>0</v>
      </c>
    </row>
    <row r="130" spans="1:7" ht="25.5">
      <c r="A130" s="20" t="s">
        <v>31</v>
      </c>
      <c r="B130" s="20" t="s">
        <v>283</v>
      </c>
      <c r="C130" s="20" t="s">
        <v>893</v>
      </c>
      <c r="D130" s="7" t="s">
        <v>284</v>
      </c>
      <c r="E130" s="10">
        <v>10000</v>
      </c>
      <c r="F130" s="10">
        <f>F131</f>
        <v>10000</v>
      </c>
      <c r="G130" s="22">
        <v>0</v>
      </c>
    </row>
    <row r="131" spans="1:7" ht="16.5" customHeight="1">
      <c r="A131" s="20"/>
      <c r="B131" s="20"/>
      <c r="C131" s="33" t="s">
        <v>33</v>
      </c>
      <c r="D131" s="32" t="s">
        <v>34</v>
      </c>
      <c r="E131" s="23">
        <v>0</v>
      </c>
      <c r="F131" s="23">
        <v>10000</v>
      </c>
      <c r="G131" s="24">
        <v>0</v>
      </c>
    </row>
    <row r="132" spans="1:7" ht="25.5" hidden="1">
      <c r="A132" s="64" t="s">
        <v>31</v>
      </c>
      <c r="B132" s="64" t="s">
        <v>44</v>
      </c>
      <c r="C132" s="20" t="s">
        <v>113</v>
      </c>
      <c r="D132" s="7" t="s">
        <v>45</v>
      </c>
      <c r="E132" s="10" t="e">
        <f>'Z 1'!#REF!</f>
        <v>#REF!</v>
      </c>
      <c r="F132" s="10">
        <f>F133+F135+F134+F136+F137+F138+F139+F140+F141</f>
        <v>0</v>
      </c>
      <c r="G132" s="22">
        <v>0</v>
      </c>
    </row>
    <row r="133" spans="1:7" ht="25.5" hidden="1">
      <c r="A133" s="66"/>
      <c r="B133" s="83"/>
      <c r="C133" s="72" t="s">
        <v>720</v>
      </c>
      <c r="D133" s="32" t="s">
        <v>721</v>
      </c>
      <c r="E133" s="23">
        <v>0</v>
      </c>
      <c r="F133" s="23">
        <v>0</v>
      </c>
      <c r="G133" s="24">
        <v>0</v>
      </c>
    </row>
    <row r="134" spans="1:7" ht="12.75" hidden="1">
      <c r="A134" s="69"/>
      <c r="B134" s="84"/>
      <c r="C134" s="72" t="s">
        <v>724</v>
      </c>
      <c r="D134" s="32" t="s">
        <v>137</v>
      </c>
      <c r="E134" s="23">
        <v>0</v>
      </c>
      <c r="F134" s="23">
        <v>0</v>
      </c>
      <c r="G134" s="24">
        <v>0</v>
      </c>
    </row>
    <row r="135" spans="1:7" ht="12.75" hidden="1">
      <c r="A135" s="69"/>
      <c r="B135" s="84"/>
      <c r="C135" s="74" t="s">
        <v>753</v>
      </c>
      <c r="D135" s="32" t="s">
        <v>793</v>
      </c>
      <c r="E135" s="23">
        <v>0</v>
      </c>
      <c r="F135" s="23">
        <v>0</v>
      </c>
      <c r="G135" s="24">
        <v>0</v>
      </c>
    </row>
    <row r="136" spans="1:7" ht="12.75" hidden="1">
      <c r="A136" s="69"/>
      <c r="B136" s="84"/>
      <c r="C136" s="74" t="s">
        <v>728</v>
      </c>
      <c r="D136" s="32" t="s">
        <v>729</v>
      </c>
      <c r="E136" s="23">
        <v>0</v>
      </c>
      <c r="F136" s="23">
        <v>0</v>
      </c>
      <c r="G136" s="24">
        <v>0</v>
      </c>
    </row>
    <row r="137" spans="1:7" ht="13.5" customHeight="1" hidden="1">
      <c r="A137" s="69"/>
      <c r="B137" s="84"/>
      <c r="C137" s="74" t="s">
        <v>730</v>
      </c>
      <c r="D137" s="32" t="s">
        <v>731</v>
      </c>
      <c r="E137" s="23">
        <v>0</v>
      </c>
      <c r="F137" s="23">
        <v>0</v>
      </c>
      <c r="G137" s="24">
        <v>0</v>
      </c>
    </row>
    <row r="138" spans="1:7" ht="12.75" hidden="1">
      <c r="A138" s="31"/>
      <c r="B138" s="20"/>
      <c r="C138" s="74" t="s">
        <v>732</v>
      </c>
      <c r="D138" s="32" t="s">
        <v>824</v>
      </c>
      <c r="E138" s="23">
        <v>0</v>
      </c>
      <c r="F138" s="23">
        <v>0</v>
      </c>
      <c r="G138" s="24">
        <v>0</v>
      </c>
    </row>
    <row r="139" spans="1:7" ht="12.75" hidden="1">
      <c r="A139" s="31"/>
      <c r="B139" s="20"/>
      <c r="C139" s="74" t="s">
        <v>736</v>
      </c>
      <c r="D139" s="32" t="s">
        <v>826</v>
      </c>
      <c r="E139" s="23">
        <v>0</v>
      </c>
      <c r="F139" s="23">
        <v>0</v>
      </c>
      <c r="G139" s="24">
        <v>0</v>
      </c>
    </row>
    <row r="140" spans="1:7" ht="12.75" hidden="1">
      <c r="A140" s="69"/>
      <c r="B140" s="84"/>
      <c r="C140" s="74" t="s">
        <v>738</v>
      </c>
      <c r="D140" s="32" t="s">
        <v>739</v>
      </c>
      <c r="E140" s="23">
        <v>0</v>
      </c>
      <c r="F140" s="23">
        <v>0</v>
      </c>
      <c r="G140" s="24">
        <v>0</v>
      </c>
    </row>
    <row r="141" spans="1:7" ht="12.75" hidden="1">
      <c r="A141" s="61"/>
      <c r="B141" s="85"/>
      <c r="C141" s="74" t="s">
        <v>742</v>
      </c>
      <c r="D141" s="32" t="s">
        <v>743</v>
      </c>
      <c r="E141" s="23">
        <v>0</v>
      </c>
      <c r="F141" s="23">
        <v>0</v>
      </c>
      <c r="G141" s="24">
        <v>0</v>
      </c>
    </row>
    <row r="142" spans="1:7" ht="12.75" hidden="1">
      <c r="A142" s="64" t="s">
        <v>31</v>
      </c>
      <c r="B142" s="64" t="s">
        <v>51</v>
      </c>
      <c r="C142" s="20" t="s">
        <v>113</v>
      </c>
      <c r="D142" s="10" t="s">
        <v>52</v>
      </c>
      <c r="E142" s="10" t="e">
        <f>'Z 1'!#REF!</f>
        <v>#REF!</v>
      </c>
      <c r="F142" s="10">
        <f>F143+F144+F145+F146+F147+F148+F150+F151+F152+F153+F154</f>
        <v>0</v>
      </c>
      <c r="G142" s="22">
        <v>0</v>
      </c>
    </row>
    <row r="143" spans="1:7" ht="25.5" hidden="1">
      <c r="A143" s="65"/>
      <c r="B143" s="64"/>
      <c r="C143" s="72" t="s">
        <v>720</v>
      </c>
      <c r="D143" s="32" t="s">
        <v>721</v>
      </c>
      <c r="E143" s="23">
        <v>0</v>
      </c>
      <c r="F143" s="23">
        <v>0</v>
      </c>
      <c r="G143" s="24">
        <v>0</v>
      </c>
    </row>
    <row r="144" spans="1:7" ht="12.75" hidden="1">
      <c r="A144" s="68"/>
      <c r="B144" s="73"/>
      <c r="C144" s="72" t="s">
        <v>724</v>
      </c>
      <c r="D144" s="23" t="s">
        <v>137</v>
      </c>
      <c r="E144" s="23">
        <v>0</v>
      </c>
      <c r="F144" s="23">
        <v>0</v>
      </c>
      <c r="G144" s="24">
        <v>0</v>
      </c>
    </row>
    <row r="145" spans="1:7" ht="12.75" hidden="1">
      <c r="A145" s="68"/>
      <c r="B145" s="73"/>
      <c r="C145" s="74" t="s">
        <v>753</v>
      </c>
      <c r="D145" s="32" t="s">
        <v>793</v>
      </c>
      <c r="E145" s="23">
        <v>0</v>
      </c>
      <c r="F145" s="23">
        <v>0</v>
      </c>
      <c r="G145" s="24">
        <v>0</v>
      </c>
    </row>
    <row r="146" spans="1:7" ht="12.75" hidden="1">
      <c r="A146" s="68"/>
      <c r="B146" s="73"/>
      <c r="C146" s="74" t="s">
        <v>728</v>
      </c>
      <c r="D146" s="32" t="s">
        <v>729</v>
      </c>
      <c r="E146" s="23">
        <v>0</v>
      </c>
      <c r="F146" s="23">
        <v>0</v>
      </c>
      <c r="G146" s="24">
        <v>0</v>
      </c>
    </row>
    <row r="147" spans="1:7" ht="12.75" hidden="1">
      <c r="A147" s="68"/>
      <c r="B147" s="69"/>
      <c r="C147" s="72" t="s">
        <v>730</v>
      </c>
      <c r="D147" s="23" t="s">
        <v>731</v>
      </c>
      <c r="E147" s="23">
        <v>0</v>
      </c>
      <c r="F147" s="23">
        <v>0</v>
      </c>
      <c r="G147" s="24">
        <v>0</v>
      </c>
    </row>
    <row r="148" spans="1:7" ht="12.75" hidden="1">
      <c r="A148" s="68"/>
      <c r="B148" s="69"/>
      <c r="C148" s="72" t="s">
        <v>732</v>
      </c>
      <c r="D148" s="23" t="s">
        <v>824</v>
      </c>
      <c r="E148" s="23">
        <v>0</v>
      </c>
      <c r="F148" s="23">
        <v>0</v>
      </c>
      <c r="G148" s="24">
        <v>0</v>
      </c>
    </row>
    <row r="149" spans="1:7" ht="12.75" hidden="1">
      <c r="A149" s="68"/>
      <c r="B149" s="69"/>
      <c r="C149" s="72" t="s">
        <v>734</v>
      </c>
      <c r="D149" s="23" t="s">
        <v>825</v>
      </c>
      <c r="E149" s="23">
        <v>0</v>
      </c>
      <c r="F149" s="23">
        <v>15074</v>
      </c>
      <c r="G149" s="24">
        <v>0</v>
      </c>
    </row>
    <row r="150" spans="1:7" ht="12.75" hidden="1">
      <c r="A150" s="68"/>
      <c r="B150" s="69"/>
      <c r="C150" s="72" t="s">
        <v>736</v>
      </c>
      <c r="D150" s="23" t="s">
        <v>826</v>
      </c>
      <c r="E150" s="23">
        <v>0</v>
      </c>
      <c r="F150" s="23">
        <v>0</v>
      </c>
      <c r="G150" s="24">
        <v>0</v>
      </c>
    </row>
    <row r="151" spans="1:7" ht="12.75" hidden="1">
      <c r="A151" s="68"/>
      <c r="B151" s="69"/>
      <c r="C151" s="72" t="s">
        <v>738</v>
      </c>
      <c r="D151" s="23" t="s">
        <v>739</v>
      </c>
      <c r="E151" s="23">
        <v>0</v>
      </c>
      <c r="F151" s="23">
        <v>0</v>
      </c>
      <c r="G151" s="24">
        <v>0</v>
      </c>
    </row>
    <row r="152" spans="1:7" ht="12.75" hidden="1">
      <c r="A152" s="68"/>
      <c r="B152" s="69"/>
      <c r="C152" s="72" t="s">
        <v>740</v>
      </c>
      <c r="D152" s="23" t="s">
        <v>741</v>
      </c>
      <c r="E152" s="23">
        <v>0</v>
      </c>
      <c r="F152" s="23">
        <v>0</v>
      </c>
      <c r="G152" s="24">
        <v>0</v>
      </c>
    </row>
    <row r="153" spans="1:7" ht="12.75" hidden="1">
      <c r="A153" s="68"/>
      <c r="B153" s="69"/>
      <c r="C153" s="72" t="s">
        <v>742</v>
      </c>
      <c r="D153" s="23" t="s">
        <v>743</v>
      </c>
      <c r="E153" s="23">
        <v>0</v>
      </c>
      <c r="F153" s="23">
        <v>0</v>
      </c>
      <c r="G153" s="24">
        <v>0</v>
      </c>
    </row>
    <row r="154" spans="1:7" ht="12.75" hidden="1">
      <c r="A154" s="71"/>
      <c r="B154" s="61"/>
      <c r="C154" s="72" t="s">
        <v>758</v>
      </c>
      <c r="D154" s="23" t="s">
        <v>759</v>
      </c>
      <c r="E154" s="23">
        <v>0</v>
      </c>
      <c r="F154" s="23">
        <v>0</v>
      </c>
      <c r="G154" s="24">
        <v>0</v>
      </c>
    </row>
    <row r="155" spans="1:7" ht="21" customHeight="1">
      <c r="A155" s="573" t="s">
        <v>191</v>
      </c>
      <c r="B155" s="574"/>
      <c r="C155" s="575"/>
      <c r="D155" s="576"/>
      <c r="E155" s="10">
        <f>E16+E33+E40+E42+E44+E55+E57+E68+E97+E126+E128+E130</f>
        <v>2910110</v>
      </c>
      <c r="F155" s="10">
        <f>F16+F33+F40+F42+F44+F55+F57+F68+F97+F126+F128+F130</f>
        <v>2910110</v>
      </c>
      <c r="G155" s="10">
        <f>G10</f>
        <v>138000</v>
      </c>
    </row>
    <row r="156" ht="12.75">
      <c r="E156" t="s">
        <v>683</v>
      </c>
    </row>
  </sheetData>
  <mergeCells count="9">
    <mergeCell ref="B15:F15"/>
    <mergeCell ref="E1:G1"/>
    <mergeCell ref="A155:D15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66" t="s">
        <v>4</v>
      </c>
      <c r="F1" s="566"/>
    </row>
    <row r="2" spans="5:6" ht="12.75">
      <c r="E2" s="1"/>
      <c r="F2" s="1"/>
    </row>
    <row r="3" spans="1:6" ht="13.5" thickBot="1">
      <c r="A3" s="593" t="s">
        <v>455</v>
      </c>
      <c r="B3" s="593"/>
      <c r="C3" s="593"/>
      <c r="D3" s="593"/>
      <c r="E3" s="593"/>
      <c r="F3" s="593"/>
    </row>
    <row r="4" spans="1:6" ht="13.5" thickBot="1">
      <c r="A4" s="594" t="s">
        <v>100</v>
      </c>
      <c r="B4" s="595"/>
      <c r="C4" s="596"/>
      <c r="D4" s="597" t="s">
        <v>101</v>
      </c>
      <c r="E4" s="599" t="s">
        <v>192</v>
      </c>
      <c r="F4" s="601" t="s">
        <v>103</v>
      </c>
    </row>
    <row r="5" spans="1:6" ht="13.5" thickBot="1">
      <c r="A5" s="206" t="s">
        <v>105</v>
      </c>
      <c r="B5" s="207" t="s">
        <v>106</v>
      </c>
      <c r="C5" s="206" t="s">
        <v>693</v>
      </c>
      <c r="D5" s="598"/>
      <c r="E5" s="600"/>
      <c r="F5" s="602"/>
    </row>
    <row r="6" spans="1:6" ht="12.75">
      <c r="A6" s="340">
        <v>1</v>
      </c>
      <c r="B6" s="339">
        <v>2</v>
      </c>
      <c r="C6" s="339">
        <v>3</v>
      </c>
      <c r="D6" s="208">
        <v>4</v>
      </c>
      <c r="E6" s="339">
        <v>5</v>
      </c>
      <c r="F6" s="341">
        <v>6</v>
      </c>
    </row>
    <row r="7" spans="1:6" ht="38.25" hidden="1">
      <c r="A7" s="89"/>
      <c r="B7" s="60"/>
      <c r="C7" s="213">
        <v>2830</v>
      </c>
      <c r="D7" s="214" t="s">
        <v>457</v>
      </c>
      <c r="E7" s="210">
        <v>0</v>
      </c>
      <c r="F7" s="215">
        <v>0</v>
      </c>
    </row>
    <row r="8" spans="1:6" ht="12.75">
      <c r="A8" s="217">
        <v>852</v>
      </c>
      <c r="B8" s="217">
        <v>85202</v>
      </c>
      <c r="C8" s="22">
        <v>2310</v>
      </c>
      <c r="D8" s="88" t="s">
        <v>39</v>
      </c>
      <c r="E8" s="209">
        <f>'Z 1'!S277</f>
        <v>578000</v>
      </c>
      <c r="F8" s="211">
        <f>F9+F10+F11+F13+F12+F14+F15+F16+F17+F18+F19+F20+F21+F22+F23+F24+F25</f>
        <v>578000</v>
      </c>
    </row>
    <row r="9" spans="1:6" ht="25.5">
      <c r="A9" s="212"/>
      <c r="B9" s="87"/>
      <c r="C9" s="218">
        <v>4010</v>
      </c>
      <c r="D9" s="214" t="s">
        <v>721</v>
      </c>
      <c r="E9" s="210">
        <v>0</v>
      </c>
      <c r="F9" s="215">
        <v>394926</v>
      </c>
    </row>
    <row r="10" spans="1:6" ht="12.75">
      <c r="A10" s="216"/>
      <c r="B10" s="217"/>
      <c r="C10" s="218">
        <v>4040</v>
      </c>
      <c r="D10" s="214" t="s">
        <v>166</v>
      </c>
      <c r="E10" s="210">
        <v>0</v>
      </c>
      <c r="F10" s="215">
        <v>28354</v>
      </c>
    </row>
    <row r="11" spans="1:6" ht="12.75">
      <c r="A11" s="216"/>
      <c r="B11" s="217"/>
      <c r="C11" s="414">
        <v>4110</v>
      </c>
      <c r="D11" s="214" t="s">
        <v>793</v>
      </c>
      <c r="E11" s="210">
        <v>0</v>
      </c>
      <c r="F11" s="215">
        <v>67547</v>
      </c>
    </row>
    <row r="12" spans="1:6" ht="12.75">
      <c r="A12" s="216"/>
      <c r="B12" s="217"/>
      <c r="C12" s="414">
        <v>4120</v>
      </c>
      <c r="D12" s="214" t="s">
        <v>729</v>
      </c>
      <c r="E12" s="210">
        <v>0</v>
      </c>
      <c r="F12" s="215">
        <v>7361</v>
      </c>
    </row>
    <row r="13" spans="1:6" ht="12.75" hidden="1">
      <c r="A13" s="216"/>
      <c r="B13" s="217"/>
      <c r="C13" s="218">
        <v>3020</v>
      </c>
      <c r="D13" s="214" t="s">
        <v>456</v>
      </c>
      <c r="E13" s="210">
        <v>0</v>
      </c>
      <c r="F13" s="215">
        <v>0</v>
      </c>
    </row>
    <row r="14" spans="1:6" ht="12.75" hidden="1">
      <c r="A14" s="216"/>
      <c r="B14" s="217"/>
      <c r="C14" s="218">
        <v>3030</v>
      </c>
      <c r="D14" s="214" t="s">
        <v>34</v>
      </c>
      <c r="E14" s="210">
        <v>0</v>
      </c>
      <c r="F14" s="215">
        <v>0</v>
      </c>
    </row>
    <row r="15" spans="1:6" ht="12.75">
      <c r="A15" s="89"/>
      <c r="B15" s="60"/>
      <c r="C15" s="218">
        <v>4410</v>
      </c>
      <c r="D15" s="214" t="s">
        <v>739</v>
      </c>
      <c r="E15" s="210">
        <v>0</v>
      </c>
      <c r="F15" s="215">
        <v>600</v>
      </c>
    </row>
    <row r="16" spans="1:6" ht="12.75">
      <c r="A16" s="212"/>
      <c r="B16" s="87"/>
      <c r="C16" s="218">
        <v>4210</v>
      </c>
      <c r="D16" s="214" t="s">
        <v>731</v>
      </c>
      <c r="E16" s="210">
        <v>0</v>
      </c>
      <c r="F16" s="215">
        <v>0</v>
      </c>
    </row>
    <row r="17" spans="1:6" ht="12.75">
      <c r="A17" s="216"/>
      <c r="B17" s="217"/>
      <c r="C17" s="219">
        <v>4220</v>
      </c>
      <c r="D17" s="220" t="s">
        <v>821</v>
      </c>
      <c r="E17" s="221">
        <v>0</v>
      </c>
      <c r="F17" s="222">
        <v>7877</v>
      </c>
    </row>
    <row r="18" spans="1:6" ht="12.75">
      <c r="A18" s="22"/>
      <c r="B18" s="22"/>
      <c r="C18" s="24">
        <v>4230</v>
      </c>
      <c r="D18" s="214" t="s">
        <v>458</v>
      </c>
      <c r="E18" s="210">
        <v>0</v>
      </c>
      <c r="F18" s="215">
        <v>3805</v>
      </c>
    </row>
    <row r="19" spans="1:6" ht="12.75">
      <c r="A19" s="22"/>
      <c r="B19" s="22"/>
      <c r="C19" s="24">
        <v>4260</v>
      </c>
      <c r="D19" s="214" t="s">
        <v>824</v>
      </c>
      <c r="E19" s="210">
        <v>0</v>
      </c>
      <c r="F19" s="215">
        <v>27902</v>
      </c>
    </row>
    <row r="20" spans="1:6" ht="12.75" hidden="1">
      <c r="A20" s="216"/>
      <c r="B20" s="217"/>
      <c r="C20" s="223">
        <v>4270</v>
      </c>
      <c r="D20" s="224" t="s">
        <v>825</v>
      </c>
      <c r="E20" s="225">
        <v>0</v>
      </c>
      <c r="F20" s="226">
        <v>0</v>
      </c>
    </row>
    <row r="21" spans="1:6" ht="12.75">
      <c r="A21" s="216"/>
      <c r="B21" s="217"/>
      <c r="C21" s="218">
        <v>4300</v>
      </c>
      <c r="D21" s="214" t="s">
        <v>826</v>
      </c>
      <c r="E21" s="210">
        <v>0</v>
      </c>
      <c r="F21" s="215">
        <v>23538</v>
      </c>
    </row>
    <row r="22" spans="1:6" ht="12.75">
      <c r="A22" s="216"/>
      <c r="B22" s="217"/>
      <c r="C22" s="218">
        <v>4430</v>
      </c>
      <c r="D22" s="214" t="s">
        <v>741</v>
      </c>
      <c r="E22" s="210">
        <v>0</v>
      </c>
      <c r="F22" s="215">
        <v>0</v>
      </c>
    </row>
    <row r="23" spans="1:6" ht="12.75">
      <c r="A23" s="216"/>
      <c r="B23" s="217"/>
      <c r="C23" s="218">
        <v>4440</v>
      </c>
      <c r="D23" s="214" t="s">
        <v>743</v>
      </c>
      <c r="E23" s="210">
        <v>0</v>
      </c>
      <c r="F23" s="215">
        <v>14350</v>
      </c>
    </row>
    <row r="24" spans="1:6" ht="12.75">
      <c r="A24" s="216"/>
      <c r="B24" s="217"/>
      <c r="C24" s="218">
        <v>4480</v>
      </c>
      <c r="D24" s="214" t="s">
        <v>759</v>
      </c>
      <c r="E24" s="210">
        <v>0</v>
      </c>
      <c r="F24" s="215">
        <v>1313</v>
      </c>
    </row>
    <row r="25" spans="1:6" ht="12.75">
      <c r="A25" s="89"/>
      <c r="B25" s="60"/>
      <c r="C25" s="218">
        <v>4520</v>
      </c>
      <c r="D25" s="214" t="s">
        <v>187</v>
      </c>
      <c r="E25" s="210">
        <v>0</v>
      </c>
      <c r="F25" s="215">
        <v>427</v>
      </c>
    </row>
    <row r="26" spans="1:6" ht="18.75" customHeight="1">
      <c r="A26" s="590" t="s">
        <v>463</v>
      </c>
      <c r="B26" s="591"/>
      <c r="C26" s="591"/>
      <c r="D26" s="592"/>
      <c r="E26" s="227">
        <f>E8</f>
        <v>578000</v>
      </c>
      <c r="F26" s="227">
        <f>F8</f>
        <v>578000</v>
      </c>
    </row>
    <row r="27" ht="12.75">
      <c r="C27" s="228"/>
    </row>
    <row r="28" spans="3:5" ht="12.75">
      <c r="C28" s="228"/>
      <c r="E28" s="291" t="s">
        <v>635</v>
      </c>
    </row>
    <row r="29" spans="1:6" ht="38.25" customHeight="1">
      <c r="A29" s="589"/>
      <c r="B29" s="589"/>
      <c r="C29" s="589"/>
      <c r="D29" s="589"/>
      <c r="E29" s="589"/>
      <c r="F29" s="589"/>
    </row>
    <row r="30" ht="12.75">
      <c r="C30" s="228"/>
    </row>
    <row r="31" ht="12.75">
      <c r="C31" s="228"/>
    </row>
    <row r="32" ht="12.75">
      <c r="C32" s="228"/>
    </row>
    <row r="33" ht="12.75">
      <c r="C33" s="228"/>
    </row>
  </sheetData>
  <mergeCells count="8">
    <mergeCell ref="E1:F1"/>
    <mergeCell ref="A29:F29"/>
    <mergeCell ref="A26:D26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A2" sqref="A2:F2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15" customHeight="1">
      <c r="C1" s="608" t="s">
        <v>5</v>
      </c>
      <c r="D1" s="608"/>
      <c r="E1" s="608"/>
      <c r="F1" s="608"/>
    </row>
    <row r="2" spans="1:6" ht="22.5" customHeight="1">
      <c r="A2" s="609" t="s">
        <v>195</v>
      </c>
      <c r="B2" s="609"/>
      <c r="C2" s="609"/>
      <c r="D2" s="609"/>
      <c r="E2" s="609"/>
      <c r="F2" s="609"/>
    </row>
    <row r="3" spans="1:6" ht="12" customHeight="1">
      <c r="A3" s="555" t="s">
        <v>100</v>
      </c>
      <c r="B3" s="555"/>
      <c r="C3" s="555"/>
      <c r="D3" s="543" t="s">
        <v>101</v>
      </c>
      <c r="E3" s="543" t="s">
        <v>192</v>
      </c>
      <c r="F3" s="543" t="s">
        <v>103</v>
      </c>
    </row>
    <row r="4" spans="1:6" ht="12" customHeight="1">
      <c r="A4" s="19" t="s">
        <v>105</v>
      </c>
      <c r="B4" s="19" t="s">
        <v>106</v>
      </c>
      <c r="C4" s="19" t="s">
        <v>693</v>
      </c>
      <c r="D4" s="543"/>
      <c r="E4" s="543"/>
      <c r="F4" s="543"/>
    </row>
    <row r="5" spans="1:6" ht="11.25" customHeight="1">
      <c r="A5" s="253">
        <v>1</v>
      </c>
      <c r="B5" s="253">
        <v>2</v>
      </c>
      <c r="C5" s="253">
        <v>3</v>
      </c>
      <c r="D5" s="253">
        <v>4</v>
      </c>
      <c r="E5" s="253">
        <v>5</v>
      </c>
      <c r="F5" s="253">
        <v>6</v>
      </c>
    </row>
    <row r="6" spans="1:6" ht="15.75" customHeight="1">
      <c r="A6" s="19">
        <v>600</v>
      </c>
      <c r="B6" s="19">
        <v>60014</v>
      </c>
      <c r="C6" s="19">
        <v>2310</v>
      </c>
      <c r="D6" s="19" t="s">
        <v>641</v>
      </c>
      <c r="E6" s="19">
        <f>E9</f>
        <v>0</v>
      </c>
      <c r="F6" s="19">
        <f>F9</f>
        <v>50000</v>
      </c>
    </row>
    <row r="7" spans="1:6" ht="9.75" customHeight="1">
      <c r="A7" s="90"/>
      <c r="B7" s="90"/>
      <c r="C7" s="90"/>
      <c r="D7" s="359" t="s">
        <v>196</v>
      </c>
      <c r="E7" s="90"/>
      <c r="F7" s="90"/>
    </row>
    <row r="8" spans="1:6" ht="15.75" customHeight="1" hidden="1">
      <c r="A8" s="90"/>
      <c r="B8" s="90"/>
      <c r="C8" s="90"/>
      <c r="D8" s="25" t="s">
        <v>644</v>
      </c>
      <c r="E8" s="90">
        <v>0</v>
      </c>
      <c r="F8" s="90">
        <v>0</v>
      </c>
    </row>
    <row r="9" spans="1:6" ht="14.25" customHeight="1">
      <c r="A9" s="90"/>
      <c r="B9" s="90"/>
      <c r="C9" s="90">
        <v>2310</v>
      </c>
      <c r="D9" s="25" t="s">
        <v>557</v>
      </c>
      <c r="E9" s="90">
        <v>0</v>
      </c>
      <c r="F9" s="90">
        <v>50000</v>
      </c>
    </row>
    <row r="10" spans="1:6" ht="15.75" customHeight="1">
      <c r="A10" s="29" t="s">
        <v>703</v>
      </c>
      <c r="B10" s="19">
        <v>1095</v>
      </c>
      <c r="C10" s="19">
        <v>2310</v>
      </c>
      <c r="D10" s="86" t="s">
        <v>795</v>
      </c>
      <c r="E10" s="19">
        <f>E12</f>
        <v>0</v>
      </c>
      <c r="F10" s="19">
        <f>F12</f>
        <v>1500</v>
      </c>
    </row>
    <row r="11" spans="1:6" ht="12.75" customHeight="1">
      <c r="A11" s="37"/>
      <c r="B11" s="90"/>
      <c r="C11" s="90"/>
      <c r="D11" s="25" t="s">
        <v>196</v>
      </c>
      <c r="E11" s="90"/>
      <c r="F11" s="90"/>
    </row>
    <row r="12" spans="1:6" ht="13.5" customHeight="1">
      <c r="A12" s="90"/>
      <c r="B12" s="90"/>
      <c r="C12" s="90">
        <v>2310</v>
      </c>
      <c r="D12" s="25" t="s">
        <v>558</v>
      </c>
      <c r="E12" s="90">
        <v>0</v>
      </c>
      <c r="F12" s="90">
        <v>1500</v>
      </c>
    </row>
    <row r="13" spans="1:6" ht="25.5" customHeight="1">
      <c r="A13" s="3">
        <v>754</v>
      </c>
      <c r="B13" s="3">
        <v>75411</v>
      </c>
      <c r="C13" s="3">
        <v>2310</v>
      </c>
      <c r="D13" s="88" t="s">
        <v>361</v>
      </c>
      <c r="E13" s="3">
        <f>E15+E16+E17</f>
        <v>18500</v>
      </c>
      <c r="F13" s="3">
        <f>F15+F16+F17</f>
        <v>0</v>
      </c>
    </row>
    <row r="14" spans="1:6" ht="15.75" customHeight="1">
      <c r="A14" s="90"/>
      <c r="B14" s="90"/>
      <c r="C14" s="90"/>
      <c r="D14" s="25" t="s">
        <v>196</v>
      </c>
      <c r="E14" s="90"/>
      <c r="F14" s="90"/>
    </row>
    <row r="15" spans="1:6" ht="12.75" customHeight="1">
      <c r="A15" s="90"/>
      <c r="B15" s="90"/>
      <c r="C15" s="90"/>
      <c r="D15" s="25" t="s">
        <v>555</v>
      </c>
      <c r="E15" s="90">
        <v>1000</v>
      </c>
      <c r="F15" s="90">
        <v>0</v>
      </c>
    </row>
    <row r="16" spans="1:6" ht="12.75" customHeight="1">
      <c r="A16" s="90"/>
      <c r="B16" s="90"/>
      <c r="C16" s="90"/>
      <c r="D16" s="25" t="s">
        <v>559</v>
      </c>
      <c r="E16" s="90">
        <v>2500</v>
      </c>
      <c r="F16" s="90">
        <v>0</v>
      </c>
    </row>
    <row r="17" spans="1:6" ht="12.75" customHeight="1">
      <c r="A17" s="90"/>
      <c r="B17" s="90"/>
      <c r="C17" s="90"/>
      <c r="D17" s="25" t="s">
        <v>556</v>
      </c>
      <c r="E17" s="90">
        <v>15000</v>
      </c>
      <c r="F17" s="90">
        <v>0</v>
      </c>
    </row>
    <row r="18" spans="1:6" ht="13.5" customHeight="1">
      <c r="A18" s="19">
        <v>600</v>
      </c>
      <c r="B18" s="19">
        <v>60014</v>
      </c>
      <c r="C18" s="19">
        <v>6610</v>
      </c>
      <c r="D18" s="19" t="s">
        <v>641</v>
      </c>
      <c r="E18" s="19">
        <f>E20+E22+E21</f>
        <v>176435</v>
      </c>
      <c r="F18" s="19">
        <f>F20+F22+F21</f>
        <v>0</v>
      </c>
    </row>
    <row r="19" spans="1:6" ht="12" customHeight="1">
      <c r="A19" s="90"/>
      <c r="B19" s="90"/>
      <c r="C19" s="90"/>
      <c r="D19" s="359" t="s">
        <v>196</v>
      </c>
      <c r="E19" s="90"/>
      <c r="F19" s="90"/>
    </row>
    <row r="20" spans="1:6" ht="12.75" customHeight="1">
      <c r="A20" s="25"/>
      <c r="B20" s="25"/>
      <c r="C20" s="90">
        <v>6610</v>
      </c>
      <c r="D20" s="25" t="s">
        <v>557</v>
      </c>
      <c r="E20" s="90">
        <v>86435</v>
      </c>
      <c r="F20" s="90">
        <v>0</v>
      </c>
    </row>
    <row r="21" spans="1:6" ht="13.5" customHeight="1">
      <c r="A21" s="25"/>
      <c r="B21" s="25"/>
      <c r="C21" s="90">
        <v>6610</v>
      </c>
      <c r="D21" s="25" t="s">
        <v>560</v>
      </c>
      <c r="E21" s="90">
        <v>90000</v>
      </c>
      <c r="F21" s="90">
        <v>0</v>
      </c>
    </row>
    <row r="22" spans="1:6" ht="12" customHeight="1">
      <c r="A22" s="25"/>
      <c r="B22" s="25"/>
      <c r="C22" s="90">
        <v>6610</v>
      </c>
      <c r="D22" s="25" t="s">
        <v>558</v>
      </c>
      <c r="E22" s="90">
        <v>0</v>
      </c>
      <c r="F22" s="90">
        <v>0</v>
      </c>
    </row>
    <row r="23" spans="1:6" ht="15" customHeight="1" hidden="1">
      <c r="A23" s="86">
        <v>600</v>
      </c>
      <c r="B23" s="86">
        <v>60014</v>
      </c>
      <c r="C23" s="19">
        <v>663</v>
      </c>
      <c r="D23" s="19" t="s">
        <v>641</v>
      </c>
      <c r="E23" s="19">
        <f>E25</f>
        <v>0</v>
      </c>
      <c r="F23" s="19">
        <f>F25</f>
        <v>0</v>
      </c>
    </row>
    <row r="24" spans="1:6" ht="12" customHeight="1" hidden="1">
      <c r="A24" s="25"/>
      <c r="B24" s="25"/>
      <c r="C24" s="90"/>
      <c r="D24" s="359" t="s">
        <v>196</v>
      </c>
      <c r="E24" s="90"/>
      <c r="F24" s="90"/>
    </row>
    <row r="25" spans="1:6" ht="15" customHeight="1" hidden="1">
      <c r="A25" s="25"/>
      <c r="B25" s="25"/>
      <c r="C25" s="90"/>
      <c r="D25" s="25" t="s">
        <v>687</v>
      </c>
      <c r="E25" s="90">
        <v>0</v>
      </c>
      <c r="F25" s="90">
        <v>0</v>
      </c>
    </row>
    <row r="26" spans="1:6" ht="15" customHeight="1" hidden="1">
      <c r="A26" s="86">
        <v>851</v>
      </c>
      <c r="B26" s="86">
        <v>85111</v>
      </c>
      <c r="C26" s="19">
        <v>231</v>
      </c>
      <c r="D26" s="86" t="s">
        <v>942</v>
      </c>
      <c r="E26" s="19">
        <f>E28+E29</f>
        <v>124000</v>
      </c>
      <c r="F26" s="19">
        <f>F28</f>
        <v>0</v>
      </c>
    </row>
    <row r="27" spans="1:6" ht="9.75" customHeight="1" hidden="1">
      <c r="A27" s="25"/>
      <c r="B27" s="25"/>
      <c r="C27" s="90"/>
      <c r="D27" s="359" t="s">
        <v>196</v>
      </c>
      <c r="E27" s="90"/>
      <c r="F27" s="90"/>
    </row>
    <row r="28" spans="1:6" ht="15" customHeight="1" hidden="1">
      <c r="A28" s="25"/>
      <c r="B28" s="25"/>
      <c r="C28" s="90"/>
      <c r="D28" s="25" t="s">
        <v>643</v>
      </c>
      <c r="E28" s="90">
        <v>100000</v>
      </c>
      <c r="F28" s="90">
        <v>0</v>
      </c>
    </row>
    <row r="29" spans="1:6" ht="15" customHeight="1" hidden="1">
      <c r="A29" s="25"/>
      <c r="B29" s="25"/>
      <c r="C29" s="90"/>
      <c r="D29" s="25" t="s">
        <v>642</v>
      </c>
      <c r="E29" s="90">
        <v>24000</v>
      </c>
      <c r="F29" s="90">
        <v>0</v>
      </c>
    </row>
    <row r="30" spans="1:6" ht="15" customHeight="1" hidden="1">
      <c r="A30" s="86">
        <v>600</v>
      </c>
      <c r="B30" s="86">
        <v>60014</v>
      </c>
      <c r="C30" s="19">
        <v>6610</v>
      </c>
      <c r="D30" s="19" t="s">
        <v>641</v>
      </c>
      <c r="E30" s="90">
        <f>E32</f>
        <v>0</v>
      </c>
      <c r="F30" s="19">
        <f>F32</f>
        <v>0</v>
      </c>
    </row>
    <row r="31" spans="1:6" ht="11.25" customHeight="1" hidden="1">
      <c r="A31" s="25"/>
      <c r="B31" s="25"/>
      <c r="C31" s="90"/>
      <c r="D31" s="359" t="s">
        <v>196</v>
      </c>
      <c r="E31" s="90"/>
      <c r="F31" s="90"/>
    </row>
    <row r="32" spans="1:6" ht="15" customHeight="1" hidden="1">
      <c r="A32" s="25"/>
      <c r="B32" s="25"/>
      <c r="C32" s="90"/>
      <c r="D32" s="25" t="s">
        <v>643</v>
      </c>
      <c r="E32" s="90">
        <v>0</v>
      </c>
      <c r="F32" s="90">
        <v>0</v>
      </c>
    </row>
    <row r="33" spans="1:6" ht="15.75" customHeight="1" hidden="1">
      <c r="A33" s="19">
        <v>630</v>
      </c>
      <c r="B33" s="19">
        <v>63001</v>
      </c>
      <c r="C33" s="19">
        <v>6620</v>
      </c>
      <c r="D33" s="19" t="s">
        <v>630</v>
      </c>
      <c r="E33" s="19">
        <f>E35</f>
        <v>0</v>
      </c>
      <c r="F33" s="19">
        <v>0</v>
      </c>
    </row>
    <row r="34" spans="1:6" ht="12" customHeight="1" hidden="1">
      <c r="A34" s="90"/>
      <c r="B34" s="90"/>
      <c r="C34" s="90"/>
      <c r="D34" s="359" t="s">
        <v>196</v>
      </c>
      <c r="E34" s="90"/>
      <c r="F34" s="90">
        <v>0</v>
      </c>
    </row>
    <row r="35" spans="1:6" ht="26.25" customHeight="1" hidden="1">
      <c r="A35" s="90"/>
      <c r="B35" s="90"/>
      <c r="C35" s="90"/>
      <c r="D35" s="214" t="s">
        <v>636</v>
      </c>
      <c r="E35" s="90">
        <v>0</v>
      </c>
      <c r="F35" s="90">
        <v>0</v>
      </c>
    </row>
    <row r="36" spans="1:6" ht="17.25" customHeight="1" hidden="1">
      <c r="A36" s="19">
        <v>630</v>
      </c>
      <c r="B36" s="19">
        <v>63001</v>
      </c>
      <c r="C36" s="19">
        <v>6610</v>
      </c>
      <c r="D36" s="19" t="s">
        <v>630</v>
      </c>
      <c r="E36" s="90">
        <v>0</v>
      </c>
      <c r="F36" s="19">
        <f>F38</f>
        <v>0</v>
      </c>
    </row>
    <row r="37" spans="1:6" ht="10.5" customHeight="1" hidden="1">
      <c r="A37" s="90"/>
      <c r="B37" s="90"/>
      <c r="C37" s="90"/>
      <c r="D37" s="359" t="s">
        <v>196</v>
      </c>
      <c r="E37" s="90">
        <v>0</v>
      </c>
      <c r="F37" s="90"/>
    </row>
    <row r="38" spans="1:6" ht="15.75" customHeight="1" hidden="1">
      <c r="A38" s="90"/>
      <c r="B38" s="90"/>
      <c r="C38" s="90"/>
      <c r="D38" s="214" t="s">
        <v>643</v>
      </c>
      <c r="E38" s="90">
        <v>0</v>
      </c>
      <c r="F38" s="90">
        <v>0</v>
      </c>
    </row>
    <row r="39" spans="1:6" ht="15.75" customHeight="1" hidden="1">
      <c r="A39" s="29" t="s">
        <v>703</v>
      </c>
      <c r="B39" s="29" t="s">
        <v>331</v>
      </c>
      <c r="C39" s="19">
        <v>2310</v>
      </c>
      <c r="D39" s="88" t="s">
        <v>795</v>
      </c>
      <c r="E39" s="19">
        <v>0</v>
      </c>
      <c r="F39" s="19">
        <f>F41</f>
        <v>0</v>
      </c>
    </row>
    <row r="40" spans="1:6" ht="11.25" customHeight="1" hidden="1">
      <c r="A40" s="37"/>
      <c r="B40" s="37"/>
      <c r="C40" s="90"/>
      <c r="D40" s="358" t="s">
        <v>196</v>
      </c>
      <c r="E40" s="90">
        <v>0</v>
      </c>
      <c r="F40" s="90"/>
    </row>
    <row r="41" spans="1:6" ht="15.75" customHeight="1" hidden="1">
      <c r="A41" s="37"/>
      <c r="B41" s="37"/>
      <c r="C41" s="90"/>
      <c r="D41" s="214" t="s">
        <v>580</v>
      </c>
      <c r="E41" s="90">
        <v>0</v>
      </c>
      <c r="F41" s="90">
        <v>0</v>
      </c>
    </row>
    <row r="42" spans="1:6" ht="24" customHeight="1">
      <c r="A42" s="19">
        <v>801</v>
      </c>
      <c r="B42" s="22">
        <v>80146</v>
      </c>
      <c r="C42" s="19">
        <v>2320</v>
      </c>
      <c r="D42" s="88" t="s">
        <v>197</v>
      </c>
      <c r="E42" s="19">
        <f>E44</f>
        <v>0</v>
      </c>
      <c r="F42" s="19">
        <f>F44</f>
        <v>12000</v>
      </c>
    </row>
    <row r="43" spans="1:6" ht="10.5" customHeight="1">
      <c r="A43" s="6"/>
      <c r="B43" s="6"/>
      <c r="C43" s="6"/>
      <c r="D43" s="359" t="s">
        <v>196</v>
      </c>
      <c r="E43" s="6"/>
      <c r="F43" s="6"/>
    </row>
    <row r="44" spans="1:6" ht="12" customHeight="1">
      <c r="A44" s="6"/>
      <c r="B44" s="6"/>
      <c r="C44" s="6">
        <v>2320</v>
      </c>
      <c r="D44" s="21" t="s">
        <v>561</v>
      </c>
      <c r="E44" s="6">
        <v>0</v>
      </c>
      <c r="F44" s="6">
        <v>12000</v>
      </c>
    </row>
    <row r="45" spans="1:6" ht="21.75" customHeight="1">
      <c r="A45" s="19">
        <v>852</v>
      </c>
      <c r="B45" s="22">
        <v>85201</v>
      </c>
      <c r="C45" s="19">
        <v>2320</v>
      </c>
      <c r="D45" s="92" t="s">
        <v>802</v>
      </c>
      <c r="E45" s="19">
        <f>E47+E52</f>
        <v>457501</v>
      </c>
      <c r="F45" s="19">
        <f>F47+F52</f>
        <v>328115</v>
      </c>
    </row>
    <row r="46" spans="1:6" ht="9" customHeight="1">
      <c r="A46" s="6"/>
      <c r="B46" s="6"/>
      <c r="C46" s="6"/>
      <c r="D46" s="360" t="s">
        <v>196</v>
      </c>
      <c r="E46" s="6"/>
      <c r="F46" s="6"/>
    </row>
    <row r="47" spans="1:6" ht="11.25" customHeight="1">
      <c r="A47" s="6"/>
      <c r="B47" s="6"/>
      <c r="C47" s="6">
        <v>2320</v>
      </c>
      <c r="D47" s="21" t="s">
        <v>565</v>
      </c>
      <c r="E47" s="6">
        <v>0</v>
      </c>
      <c r="F47" s="6">
        <v>328115</v>
      </c>
    </row>
    <row r="48" spans="1:6" ht="25.5" customHeight="1" hidden="1">
      <c r="A48" s="10">
        <v>854</v>
      </c>
      <c r="B48" s="10">
        <v>85417</v>
      </c>
      <c r="C48" s="19">
        <v>2310</v>
      </c>
      <c r="D48" s="7" t="s">
        <v>198</v>
      </c>
      <c r="E48" s="19">
        <v>0</v>
      </c>
      <c r="F48" s="19">
        <f>F50+F51</f>
        <v>0</v>
      </c>
    </row>
    <row r="49" spans="1:6" ht="7.5" customHeight="1" hidden="1">
      <c r="A49" s="11"/>
      <c r="B49" s="11"/>
      <c r="C49" s="6"/>
      <c r="D49" s="298" t="s">
        <v>196</v>
      </c>
      <c r="E49" s="6"/>
      <c r="F49" s="6"/>
    </row>
    <row r="50" spans="1:6" ht="18" customHeight="1" hidden="1">
      <c r="A50" s="11"/>
      <c r="B50" s="11"/>
      <c r="C50" s="6"/>
      <c r="D50" s="93" t="s">
        <v>199</v>
      </c>
      <c r="E50" s="6">
        <v>0</v>
      </c>
      <c r="F50" s="6">
        <v>0</v>
      </c>
    </row>
    <row r="51" spans="1:6" ht="15" customHeight="1" hidden="1">
      <c r="A51" s="11"/>
      <c r="B51" s="11"/>
      <c r="C51" s="6"/>
      <c r="D51" s="93" t="s">
        <v>200</v>
      </c>
      <c r="E51" s="6">
        <v>0</v>
      </c>
      <c r="F51" s="6">
        <v>0</v>
      </c>
    </row>
    <row r="52" spans="1:6" ht="12" customHeight="1">
      <c r="A52" s="11"/>
      <c r="B52" s="11"/>
      <c r="C52" s="6">
        <v>2320</v>
      </c>
      <c r="D52" s="93" t="s">
        <v>566</v>
      </c>
      <c r="E52" s="6">
        <v>457501</v>
      </c>
      <c r="F52" s="6">
        <v>0</v>
      </c>
    </row>
    <row r="53" spans="1:7" ht="13.5" customHeight="1">
      <c r="A53" s="19">
        <v>852</v>
      </c>
      <c r="B53" s="10">
        <v>85204</v>
      </c>
      <c r="C53" s="19"/>
      <c r="D53" s="94" t="s">
        <v>194</v>
      </c>
      <c r="E53" s="19">
        <f>E55+E56+E57</f>
        <v>15562</v>
      </c>
      <c r="F53" s="19">
        <f>F55+F56+F57</f>
        <v>14324</v>
      </c>
      <c r="G53" s="40"/>
    </row>
    <row r="54" spans="1:6" ht="11.25" customHeight="1">
      <c r="A54" s="11"/>
      <c r="B54" s="11"/>
      <c r="C54" s="6"/>
      <c r="D54" s="93" t="s">
        <v>196</v>
      </c>
      <c r="E54" s="6"/>
      <c r="F54" s="6"/>
    </row>
    <row r="55" spans="1:6" ht="12" customHeight="1">
      <c r="A55" s="11"/>
      <c r="B55" s="11"/>
      <c r="C55" s="6">
        <v>2310</v>
      </c>
      <c r="D55" s="93" t="s">
        <v>567</v>
      </c>
      <c r="E55" s="6">
        <v>0</v>
      </c>
      <c r="F55" s="6">
        <v>6543</v>
      </c>
    </row>
    <row r="56" spans="1:6" ht="12" customHeight="1">
      <c r="A56" s="11"/>
      <c r="B56" s="11"/>
      <c r="C56" s="6">
        <v>2320</v>
      </c>
      <c r="D56" s="93" t="s">
        <v>568</v>
      </c>
      <c r="E56" s="6">
        <v>0</v>
      </c>
      <c r="F56" s="6">
        <v>7781</v>
      </c>
    </row>
    <row r="57" spans="1:6" ht="12" customHeight="1">
      <c r="A57" s="11"/>
      <c r="B57" s="11"/>
      <c r="C57" s="6">
        <v>2320</v>
      </c>
      <c r="D57" s="93" t="s">
        <v>569</v>
      </c>
      <c r="E57" s="6">
        <v>15562</v>
      </c>
      <c r="F57" s="6">
        <v>0</v>
      </c>
    </row>
    <row r="58" spans="1:6" ht="12" customHeight="1" hidden="1">
      <c r="A58" s="11"/>
      <c r="B58" s="11"/>
      <c r="C58" s="6"/>
      <c r="D58" s="93" t="s">
        <v>201</v>
      </c>
      <c r="E58" s="6">
        <v>0</v>
      </c>
      <c r="F58" s="6">
        <v>0</v>
      </c>
    </row>
    <row r="59" spans="1:6" ht="15" customHeight="1" hidden="1">
      <c r="A59" s="10">
        <v>750</v>
      </c>
      <c r="B59" s="10">
        <v>75018</v>
      </c>
      <c r="C59" s="19">
        <v>2330</v>
      </c>
      <c r="D59" s="94" t="s">
        <v>581</v>
      </c>
      <c r="E59" s="19">
        <v>0</v>
      </c>
      <c r="F59" s="19">
        <f>F61</f>
        <v>0</v>
      </c>
    </row>
    <row r="60" spans="1:6" ht="10.5" customHeight="1" hidden="1">
      <c r="A60" s="23"/>
      <c r="B60" s="23"/>
      <c r="C60" s="90"/>
      <c r="D60" s="361" t="s">
        <v>196</v>
      </c>
      <c r="E60" s="90"/>
      <c r="F60" s="90"/>
    </row>
    <row r="61" spans="1:6" ht="24.75" customHeight="1" hidden="1">
      <c r="A61" s="23"/>
      <c r="B61" s="23"/>
      <c r="C61" s="90"/>
      <c r="D61" s="273" t="s">
        <v>588</v>
      </c>
      <c r="E61" s="90">
        <v>0</v>
      </c>
      <c r="F61" s="90">
        <v>0</v>
      </c>
    </row>
    <row r="62" spans="1:6" ht="21.75" customHeight="1">
      <c r="A62" s="19">
        <v>853</v>
      </c>
      <c r="B62" s="10">
        <v>85311</v>
      </c>
      <c r="C62" s="19"/>
      <c r="D62" s="94" t="s">
        <v>138</v>
      </c>
      <c r="E62" s="19">
        <f>E64</f>
        <v>0</v>
      </c>
      <c r="F62" s="19">
        <f>F64</f>
        <v>21956</v>
      </c>
    </row>
    <row r="63" spans="1:6" ht="12" customHeight="1">
      <c r="A63" s="23"/>
      <c r="B63" s="23"/>
      <c r="C63" s="90"/>
      <c r="D63" s="273" t="s">
        <v>196</v>
      </c>
      <c r="E63" s="90"/>
      <c r="F63" s="90"/>
    </row>
    <row r="64" spans="1:6" ht="13.5" customHeight="1">
      <c r="A64" s="23"/>
      <c r="B64" s="23"/>
      <c r="C64" s="90">
        <v>2310</v>
      </c>
      <c r="D64" s="273" t="s">
        <v>139</v>
      </c>
      <c r="E64" s="90">
        <v>0</v>
      </c>
      <c r="F64" s="90">
        <v>21956</v>
      </c>
    </row>
    <row r="65" spans="1:6" ht="15.75" customHeight="1">
      <c r="A65" s="19">
        <v>750</v>
      </c>
      <c r="B65" s="10">
        <v>75018</v>
      </c>
      <c r="C65" s="19">
        <v>2330</v>
      </c>
      <c r="D65" s="94" t="s">
        <v>581</v>
      </c>
      <c r="E65" s="19">
        <f>E67</f>
        <v>0</v>
      </c>
      <c r="F65" s="19">
        <f>F67</f>
        <v>9000</v>
      </c>
    </row>
    <row r="66" spans="1:6" ht="12" customHeight="1">
      <c r="A66" s="23"/>
      <c r="B66" s="23"/>
      <c r="C66" s="90"/>
      <c r="D66" s="273" t="s">
        <v>196</v>
      </c>
      <c r="E66" s="90"/>
      <c r="F66" s="90"/>
    </row>
    <row r="67" spans="1:6" ht="13.5" customHeight="1">
      <c r="A67" s="23"/>
      <c r="B67" s="23"/>
      <c r="C67" s="90"/>
      <c r="D67" s="273" t="s">
        <v>119</v>
      </c>
      <c r="E67" s="90">
        <v>0</v>
      </c>
      <c r="F67" s="90">
        <v>9000</v>
      </c>
    </row>
    <row r="68" spans="1:6" ht="16.5" customHeight="1">
      <c r="A68" s="19">
        <v>750</v>
      </c>
      <c r="B68" s="10">
        <v>75020</v>
      </c>
      <c r="C68" s="19">
        <v>6610</v>
      </c>
      <c r="D68" s="94" t="s">
        <v>790</v>
      </c>
      <c r="E68" s="19">
        <f>E70</f>
        <v>29519</v>
      </c>
      <c r="F68" s="19">
        <f>F70</f>
        <v>0</v>
      </c>
    </row>
    <row r="69" spans="1:6" ht="12" customHeight="1">
      <c r="A69" s="23"/>
      <c r="B69" s="23"/>
      <c r="C69" s="90"/>
      <c r="D69" s="273" t="s">
        <v>196</v>
      </c>
      <c r="E69" s="90"/>
      <c r="F69" s="90"/>
    </row>
    <row r="70" spans="1:6" ht="12.75" customHeight="1">
      <c r="A70" s="23"/>
      <c r="B70" s="23"/>
      <c r="C70" s="90">
        <v>6610</v>
      </c>
      <c r="D70" s="273" t="s">
        <v>570</v>
      </c>
      <c r="E70" s="90">
        <v>29519</v>
      </c>
      <c r="F70" s="90">
        <v>0</v>
      </c>
    </row>
    <row r="71" spans="1:6" ht="14.25" customHeight="1">
      <c r="A71" s="19">
        <v>851</v>
      </c>
      <c r="B71" s="10">
        <v>85111</v>
      </c>
      <c r="C71" s="19">
        <v>6610</v>
      </c>
      <c r="D71" s="94" t="s">
        <v>942</v>
      </c>
      <c r="E71" s="19">
        <f>E73+E74+E75</f>
        <v>656350</v>
      </c>
      <c r="F71" s="19">
        <f>F73+F74+F75</f>
        <v>0</v>
      </c>
    </row>
    <row r="72" spans="1:6" ht="12" customHeight="1">
      <c r="A72" s="23"/>
      <c r="B72" s="23"/>
      <c r="C72" s="90"/>
      <c r="D72" s="273" t="s">
        <v>196</v>
      </c>
      <c r="E72" s="90"/>
      <c r="F72" s="90"/>
    </row>
    <row r="73" spans="1:6" ht="12.75" customHeight="1">
      <c r="A73" s="23"/>
      <c r="B73" s="23"/>
      <c r="C73" s="90">
        <v>6610</v>
      </c>
      <c r="D73" s="273" t="s">
        <v>570</v>
      </c>
      <c r="E73" s="90">
        <v>531425</v>
      </c>
      <c r="F73" s="90">
        <v>0</v>
      </c>
    </row>
    <row r="74" spans="1:6" ht="11.25" customHeight="1">
      <c r="A74" s="23"/>
      <c r="B74" s="23"/>
      <c r="C74" s="90">
        <v>6610</v>
      </c>
      <c r="D74" s="273" t="s">
        <v>562</v>
      </c>
      <c r="E74" s="90">
        <v>74475</v>
      </c>
      <c r="F74" s="90">
        <v>0</v>
      </c>
    </row>
    <row r="75" spans="1:6" ht="12" customHeight="1">
      <c r="A75" s="23"/>
      <c r="B75" s="23"/>
      <c r="C75" s="90">
        <v>6610</v>
      </c>
      <c r="D75" s="273" t="s">
        <v>563</v>
      </c>
      <c r="E75" s="90">
        <v>50450</v>
      </c>
      <c r="F75" s="90">
        <v>0</v>
      </c>
    </row>
    <row r="76" spans="1:6" ht="14.25" customHeight="1">
      <c r="A76" s="10">
        <v>854</v>
      </c>
      <c r="B76" s="10">
        <v>85417</v>
      </c>
      <c r="C76" s="19">
        <v>2310</v>
      </c>
      <c r="D76" s="94" t="s">
        <v>571</v>
      </c>
      <c r="E76" s="19">
        <f>E78</f>
        <v>0</v>
      </c>
      <c r="F76" s="19">
        <f>F78</f>
        <v>1500</v>
      </c>
    </row>
    <row r="77" spans="1:6" ht="11.25" customHeight="1">
      <c r="A77" s="23"/>
      <c r="B77" s="23"/>
      <c r="C77" s="90"/>
      <c r="D77" s="273" t="s">
        <v>196</v>
      </c>
      <c r="E77" s="90"/>
      <c r="F77" s="90"/>
    </row>
    <row r="78" spans="1:6" ht="12" customHeight="1">
      <c r="A78" s="23"/>
      <c r="B78" s="23"/>
      <c r="C78" s="90">
        <v>2310</v>
      </c>
      <c r="D78" s="273" t="s">
        <v>563</v>
      </c>
      <c r="E78" s="90">
        <v>0</v>
      </c>
      <c r="F78" s="90">
        <v>1500</v>
      </c>
    </row>
    <row r="79" spans="1:6" ht="21" customHeight="1">
      <c r="A79" s="10">
        <v>921</v>
      </c>
      <c r="B79" s="10">
        <v>92116</v>
      </c>
      <c r="C79" s="19">
        <v>2310</v>
      </c>
      <c r="D79" s="94" t="s">
        <v>202</v>
      </c>
      <c r="E79" s="19">
        <v>0</v>
      </c>
      <c r="F79" s="19">
        <f>F81</f>
        <v>33000</v>
      </c>
    </row>
    <row r="80" spans="1:6" ht="11.25" customHeight="1">
      <c r="A80" s="11"/>
      <c r="B80" s="11"/>
      <c r="C80" s="6"/>
      <c r="D80" s="362" t="s">
        <v>196</v>
      </c>
      <c r="E80" s="6"/>
      <c r="F80" s="6"/>
    </row>
    <row r="81" spans="1:6" ht="15" customHeight="1">
      <c r="A81" s="11"/>
      <c r="B81" s="11"/>
      <c r="C81" s="6">
        <v>2310</v>
      </c>
      <c r="D81" s="93" t="s">
        <v>564</v>
      </c>
      <c r="E81" s="6">
        <v>0</v>
      </c>
      <c r="F81" s="6">
        <v>33000</v>
      </c>
    </row>
    <row r="82" spans="1:6" ht="15" customHeight="1" hidden="1">
      <c r="A82" s="10">
        <v>921</v>
      </c>
      <c r="B82" s="10">
        <v>92195</v>
      </c>
      <c r="C82" s="19">
        <v>2310</v>
      </c>
      <c r="D82" s="94" t="s">
        <v>795</v>
      </c>
      <c r="E82" s="19">
        <f>E84</f>
        <v>0</v>
      </c>
      <c r="F82" s="19">
        <f>F84</f>
        <v>0</v>
      </c>
    </row>
    <row r="83" spans="1:6" ht="10.5" customHeight="1" hidden="1">
      <c r="A83" s="11"/>
      <c r="B83" s="11"/>
      <c r="C83" s="6"/>
      <c r="D83" s="361" t="s">
        <v>196</v>
      </c>
      <c r="E83" s="6"/>
      <c r="F83" s="6"/>
    </row>
    <row r="84" spans="1:6" ht="15" customHeight="1" hidden="1">
      <c r="A84" s="11"/>
      <c r="B84" s="11"/>
      <c r="C84" s="6"/>
      <c r="D84" s="93" t="s">
        <v>643</v>
      </c>
      <c r="E84" s="6">
        <v>0</v>
      </c>
      <c r="F84" s="6">
        <v>0</v>
      </c>
    </row>
    <row r="85" spans="1:7" ht="14.25" customHeight="1">
      <c r="A85" s="10"/>
      <c r="B85" s="10"/>
      <c r="C85" s="19"/>
      <c r="D85" s="94" t="s">
        <v>203</v>
      </c>
      <c r="E85" s="19">
        <f>E6+E10+E13+E18+E42+E45+E53+E62+E65+E68+E71+E76+E79</f>
        <v>1353867</v>
      </c>
      <c r="F85" s="19">
        <f>F6+F10+F13+F18+F42+F45+F53+F62+F65+F68+F71+F76+F79</f>
        <v>471395</v>
      </c>
      <c r="G85" s="208"/>
    </row>
    <row r="86" ht="10.5" customHeight="1" hidden="1"/>
    <row r="87" spans="1:6" ht="15" customHeight="1">
      <c r="A87" s="605" t="s">
        <v>392</v>
      </c>
      <c r="B87" s="605"/>
      <c r="C87" s="605"/>
      <c r="D87" s="605"/>
      <c r="E87" s="605"/>
      <c r="F87" s="605"/>
    </row>
    <row r="88" spans="1:6" ht="15" customHeight="1">
      <c r="A88" s="146"/>
      <c r="B88" s="146"/>
      <c r="C88" s="146"/>
      <c r="D88" s="146" t="s">
        <v>393</v>
      </c>
      <c r="E88" s="146"/>
      <c r="F88" s="146"/>
    </row>
    <row r="89" spans="1:6" ht="13.5" customHeight="1">
      <c r="A89" s="146"/>
      <c r="B89" s="146"/>
      <c r="C89" s="146"/>
      <c r="D89" s="146"/>
      <c r="E89" s="146"/>
      <c r="F89" s="146"/>
    </row>
    <row r="90" spans="1:6" ht="14.25" customHeight="1">
      <c r="A90" s="146"/>
      <c r="B90" s="146"/>
      <c r="C90" s="146"/>
      <c r="D90" s="146"/>
      <c r="E90" s="146"/>
      <c r="F90" s="146"/>
    </row>
    <row r="91" spans="1:6" ht="11.25" customHeight="1">
      <c r="A91" s="146"/>
      <c r="B91" s="146"/>
      <c r="C91" s="146"/>
      <c r="D91" s="146"/>
      <c r="E91" s="146"/>
      <c r="F91" s="146"/>
    </row>
    <row r="92" spans="1:6" ht="12.75" customHeight="1">
      <c r="A92" s="146"/>
      <c r="B92" s="146"/>
      <c r="C92" s="146"/>
      <c r="D92" s="146"/>
      <c r="E92" s="146"/>
      <c r="F92" s="146"/>
    </row>
    <row r="93" spans="1:6" ht="13.5" customHeight="1">
      <c r="A93" s="146"/>
      <c r="B93" s="146"/>
      <c r="C93" s="146"/>
      <c r="D93" s="146"/>
      <c r="E93" s="146"/>
      <c r="F93" s="146"/>
    </row>
    <row r="94" spans="1:6" ht="12.75" customHeight="1">
      <c r="A94" s="146"/>
      <c r="B94" s="146"/>
      <c r="C94" s="146"/>
      <c r="D94" s="146"/>
      <c r="E94" s="146"/>
      <c r="F94" s="146"/>
    </row>
    <row r="95" spans="1:6" ht="18" customHeight="1">
      <c r="A95" s="604"/>
      <c r="B95" s="605"/>
      <c r="C95" s="605"/>
      <c r="D95" s="605"/>
      <c r="E95" s="605"/>
      <c r="F95" s="605"/>
    </row>
    <row r="96" spans="1:6" ht="14.25" customHeight="1">
      <c r="A96" s="146"/>
      <c r="B96" s="146"/>
      <c r="C96" s="146"/>
      <c r="D96" s="146"/>
      <c r="E96" s="146"/>
      <c r="F96" s="146"/>
    </row>
    <row r="97" spans="1:6" ht="14.25" customHeight="1">
      <c r="A97" s="146"/>
      <c r="B97" s="146"/>
      <c r="C97" s="146"/>
      <c r="D97" s="146"/>
      <c r="E97" s="146"/>
      <c r="F97" s="146"/>
    </row>
    <row r="98" spans="1:6" ht="15" customHeight="1">
      <c r="A98" s="40"/>
      <c r="B98" s="146"/>
      <c r="C98" s="146"/>
      <c r="D98" s="146"/>
      <c r="E98" s="146"/>
      <c r="F98" s="146"/>
    </row>
    <row r="99" spans="1:6" ht="13.5" customHeight="1">
      <c r="A99" s="146"/>
      <c r="B99" s="146"/>
      <c r="C99" s="146"/>
      <c r="D99" s="146"/>
      <c r="E99" s="146"/>
      <c r="F99" s="146"/>
    </row>
    <row r="100" spans="1:6" ht="15.75" customHeight="1">
      <c r="A100" s="146"/>
      <c r="B100" s="146"/>
      <c r="C100" s="146"/>
      <c r="D100" s="146"/>
      <c r="E100" s="146"/>
      <c r="F100" s="146"/>
    </row>
    <row r="101" spans="1:6" ht="15.75" customHeight="1">
      <c r="A101" s="146"/>
      <c r="B101" s="146"/>
      <c r="C101" s="146"/>
      <c r="D101" s="146"/>
      <c r="E101" s="146"/>
      <c r="F101" s="146"/>
    </row>
    <row r="102" spans="1:6" ht="15" customHeight="1">
      <c r="A102" s="146"/>
      <c r="B102" s="146"/>
      <c r="C102" s="146"/>
      <c r="D102" s="146"/>
      <c r="E102" s="146"/>
      <c r="F102" s="146"/>
    </row>
    <row r="103" spans="1:6" ht="24.75" customHeight="1">
      <c r="A103" s="606"/>
      <c r="B103" s="606"/>
      <c r="C103" s="606"/>
      <c r="D103" s="606"/>
      <c r="E103" s="606"/>
      <c r="F103" s="606"/>
    </row>
    <row r="104" spans="1:6" ht="54.75" customHeight="1">
      <c r="A104" s="606"/>
      <c r="B104" s="606"/>
      <c r="C104" s="606"/>
      <c r="D104" s="606"/>
      <c r="E104" s="606"/>
      <c r="F104" s="606"/>
    </row>
    <row r="105" spans="1:6" ht="18" customHeight="1" hidden="1">
      <c r="A105" s="146"/>
      <c r="B105" s="146"/>
      <c r="C105" s="146"/>
      <c r="D105" s="146"/>
      <c r="E105" s="146"/>
      <c r="F105" s="146"/>
    </row>
    <row r="106" spans="1:6" ht="15.75" customHeight="1" hidden="1">
      <c r="A106" s="146"/>
      <c r="B106" s="146"/>
      <c r="C106" s="146"/>
      <c r="D106" s="146"/>
      <c r="E106" s="146"/>
      <c r="F106" s="146"/>
    </row>
    <row r="107" spans="1:6" ht="12.75">
      <c r="A107" s="146"/>
      <c r="B107" s="146"/>
      <c r="C107" s="146"/>
      <c r="D107" s="146"/>
      <c r="E107" s="146"/>
      <c r="F107" s="146"/>
    </row>
    <row r="108" spans="1:6" ht="47.25" customHeight="1">
      <c r="A108" s="607"/>
      <c r="B108" s="607"/>
      <c r="C108" s="607"/>
      <c r="D108" s="607"/>
      <c r="E108" s="607"/>
      <c r="F108" s="607"/>
    </row>
    <row r="109" spans="1:6" ht="26.25" customHeight="1">
      <c r="A109" s="606"/>
      <c r="B109" s="606"/>
      <c r="C109" s="606"/>
      <c r="D109" s="606"/>
      <c r="E109" s="606"/>
      <c r="F109" s="606"/>
    </row>
    <row r="110" spans="1:6" ht="16.5" customHeight="1">
      <c r="A110" s="40"/>
      <c r="B110" s="146"/>
      <c r="C110" s="146"/>
      <c r="D110" s="146"/>
      <c r="E110" s="146"/>
      <c r="F110" s="146"/>
    </row>
    <row r="111" spans="1:6" ht="15" customHeight="1">
      <c r="A111" s="606"/>
      <c r="B111" s="606"/>
      <c r="C111" s="606"/>
      <c r="D111" s="606"/>
      <c r="E111" s="606"/>
      <c r="F111" s="606"/>
    </row>
    <row r="112" spans="1:6" ht="37.5" customHeight="1">
      <c r="A112" s="606"/>
      <c r="B112" s="606"/>
      <c r="C112" s="606"/>
      <c r="D112" s="606"/>
      <c r="E112" s="606"/>
      <c r="F112" s="606"/>
    </row>
    <row r="113" spans="1:6" ht="27.75" customHeight="1">
      <c r="A113" s="606"/>
      <c r="B113" s="606"/>
      <c r="C113" s="606"/>
      <c r="D113" s="606"/>
      <c r="E113" s="606"/>
      <c r="F113" s="606"/>
    </row>
    <row r="114" spans="1:6" ht="27.75" customHeight="1">
      <c r="A114" s="606"/>
      <c r="B114" s="606"/>
      <c r="C114" s="606"/>
      <c r="D114" s="606"/>
      <c r="E114" s="606"/>
      <c r="F114" s="606"/>
    </row>
    <row r="115" spans="1:6" ht="12.75">
      <c r="A115" s="604"/>
      <c r="B115" s="605"/>
      <c r="C115" s="605"/>
      <c r="D115" s="605"/>
      <c r="E115" s="605"/>
      <c r="F115" s="605"/>
    </row>
    <row r="116" spans="1:6" ht="12.75">
      <c r="A116" s="146"/>
      <c r="B116" s="146"/>
      <c r="C116" s="146"/>
      <c r="D116" s="146"/>
      <c r="E116" s="146"/>
      <c r="F116" s="146"/>
    </row>
    <row r="117" spans="1:6" ht="12.75">
      <c r="A117" s="146"/>
      <c r="B117" s="146"/>
      <c r="C117" s="146"/>
      <c r="D117" s="146"/>
      <c r="E117" s="146"/>
      <c r="F117" s="146"/>
    </row>
    <row r="118" spans="1:6" ht="12.75">
      <c r="A118" s="146"/>
      <c r="B118" s="146"/>
      <c r="C118" s="146"/>
      <c r="D118" s="146"/>
      <c r="E118" s="146"/>
      <c r="F118" s="146"/>
    </row>
    <row r="119" spans="1:6" ht="12.75">
      <c r="A119" s="146"/>
      <c r="B119" s="146"/>
      <c r="C119" s="146"/>
      <c r="D119" s="146"/>
      <c r="E119" s="146"/>
      <c r="F119" s="146"/>
    </row>
    <row r="120" spans="1:6" ht="29.25" customHeight="1">
      <c r="A120" s="146"/>
      <c r="B120" s="146"/>
      <c r="C120" s="146"/>
      <c r="D120" s="603"/>
      <c r="E120" s="603"/>
      <c r="F120" s="603"/>
    </row>
  </sheetData>
  <mergeCells count="18">
    <mergeCell ref="D3:D4"/>
    <mergeCell ref="E3:E4"/>
    <mergeCell ref="F3:F4"/>
    <mergeCell ref="C1:F1"/>
    <mergeCell ref="A2:F2"/>
    <mergeCell ref="A3:C3"/>
    <mergeCell ref="A87:F87"/>
    <mergeCell ref="A95:F95"/>
    <mergeCell ref="A104:F104"/>
    <mergeCell ref="A103:F103"/>
    <mergeCell ref="D120:F120"/>
    <mergeCell ref="A115:F115"/>
    <mergeCell ref="A111:F111"/>
    <mergeCell ref="A108:F108"/>
    <mergeCell ref="A109:F109"/>
    <mergeCell ref="A113:F113"/>
    <mergeCell ref="A114:F114"/>
    <mergeCell ref="A112:F112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3" sqref="A3:J3"/>
    </sheetView>
  </sheetViews>
  <sheetFormatPr defaultColWidth="9.00390625" defaultRowHeight="12.75"/>
  <cols>
    <col min="1" max="1" width="4.375" style="0" customWidth="1"/>
    <col min="2" max="2" width="50.25390625" style="0" customWidth="1"/>
    <col min="3" max="3" width="17.125" style="0" customWidth="1"/>
    <col min="4" max="4" width="14.875" style="0" hidden="1" customWidth="1"/>
    <col min="5" max="5" width="17.00390625" style="0" customWidth="1"/>
    <col min="6" max="7" width="27.375" style="0" customWidth="1"/>
  </cols>
  <sheetData>
    <row r="1" ht="12.75" customHeight="1"/>
    <row r="2" spans="2:7" ht="49.5" customHeight="1">
      <c r="B2" s="509"/>
      <c r="C2" s="509"/>
      <c r="D2" s="509"/>
      <c r="E2" s="509" t="s">
        <v>6</v>
      </c>
      <c r="F2" s="509"/>
      <c r="G2" s="368"/>
    </row>
    <row r="3" spans="1:10" ht="15.75">
      <c r="A3" s="611" t="s">
        <v>204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0" ht="15.7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ht="13.5" thickBot="1"/>
    <row r="6" spans="1:10" ht="24.75" customHeight="1">
      <c r="A6" s="616" t="s">
        <v>205</v>
      </c>
      <c r="B6" s="614" t="s">
        <v>206</v>
      </c>
      <c r="C6" s="612" t="s">
        <v>207</v>
      </c>
      <c r="D6" s="618" t="s">
        <v>524</v>
      </c>
      <c r="E6" s="620" t="s">
        <v>653</v>
      </c>
      <c r="F6" s="208"/>
      <c r="G6" s="208"/>
      <c r="H6" s="610"/>
      <c r="I6" s="610"/>
      <c r="J6" s="610"/>
    </row>
    <row r="7" spans="1:10" ht="18.75" customHeight="1" thickBot="1">
      <c r="A7" s="617"/>
      <c r="B7" s="615"/>
      <c r="C7" s="613"/>
      <c r="D7" s="619"/>
      <c r="E7" s="621"/>
      <c r="F7" s="208"/>
      <c r="G7" s="208"/>
      <c r="H7" s="610"/>
      <c r="I7" s="610"/>
      <c r="J7" s="610"/>
    </row>
    <row r="8" spans="1:7" ht="13.5" customHeight="1" thickBot="1">
      <c r="A8" s="98">
        <v>1</v>
      </c>
      <c r="B8" s="99">
        <v>2</v>
      </c>
      <c r="C8" s="100">
        <v>3</v>
      </c>
      <c r="D8" s="259">
        <v>4</v>
      </c>
      <c r="E8" s="370">
        <v>5</v>
      </c>
      <c r="F8" s="369"/>
      <c r="G8" s="369"/>
    </row>
    <row r="9" spans="1:7" ht="18" customHeight="1" thickBot="1">
      <c r="A9" s="18" t="s">
        <v>209</v>
      </c>
      <c r="B9" s="101" t="s">
        <v>210</v>
      </c>
      <c r="C9" s="101"/>
      <c r="D9" s="260">
        <v>25467450</v>
      </c>
      <c r="E9" s="381">
        <f>'Z 1'!S400</f>
        <v>28071530</v>
      </c>
      <c r="F9" s="45"/>
      <c r="G9" s="45"/>
    </row>
    <row r="10" spans="1:7" ht="18" customHeight="1" thickBot="1">
      <c r="A10" s="102" t="s">
        <v>211</v>
      </c>
      <c r="B10" s="103" t="s">
        <v>212</v>
      </c>
      <c r="C10" s="103"/>
      <c r="D10" s="261">
        <v>28296781</v>
      </c>
      <c r="E10" s="109">
        <f>'Z 2'!K606</f>
        <v>28039792</v>
      </c>
      <c r="F10" s="45"/>
      <c r="G10" s="45"/>
    </row>
    <row r="11" spans="1:7" ht="12.75">
      <c r="A11" s="104"/>
      <c r="B11" s="62" t="s">
        <v>213</v>
      </c>
      <c r="C11" s="44"/>
      <c r="D11" s="112">
        <f>D9-D10</f>
        <v>-2829331</v>
      </c>
      <c r="E11" s="44">
        <f>E9-E10</f>
        <v>31738</v>
      </c>
      <c r="F11" s="45"/>
      <c r="G11" s="45"/>
    </row>
    <row r="12" spans="1:7" ht="15.75" customHeight="1" thickBot="1">
      <c r="A12" s="105"/>
      <c r="B12" s="106" t="s">
        <v>214</v>
      </c>
      <c r="C12" s="106"/>
      <c r="D12" s="116">
        <f>D13-D21</f>
        <v>2945559</v>
      </c>
      <c r="E12" s="107">
        <f>E13-E21</f>
        <v>-31738</v>
      </c>
      <c r="F12" s="45"/>
      <c r="G12" s="45"/>
    </row>
    <row r="13" spans="1:7" ht="15.75" customHeight="1" thickBot="1">
      <c r="A13" s="102" t="s">
        <v>215</v>
      </c>
      <c r="B13" s="108" t="s">
        <v>216</v>
      </c>
      <c r="C13" s="109"/>
      <c r="D13" s="262">
        <f>D16+D20+D14+D18</f>
        <v>3495559</v>
      </c>
      <c r="E13" s="110">
        <f>E14+E15+E16+E17+E18+E19+E20</f>
        <v>1164830</v>
      </c>
      <c r="F13" s="181"/>
      <c r="G13" s="181"/>
    </row>
    <row r="14" spans="1:7" ht="12.75">
      <c r="A14" s="111" t="s">
        <v>217</v>
      </c>
      <c r="B14" s="62" t="s">
        <v>623</v>
      </c>
      <c r="C14" s="104" t="s">
        <v>348</v>
      </c>
      <c r="D14" s="112">
        <v>3067725</v>
      </c>
      <c r="E14" s="44">
        <v>1164830</v>
      </c>
      <c r="F14" s="45"/>
      <c r="G14" s="45"/>
    </row>
    <row r="15" spans="1:7" ht="16.5" customHeight="1">
      <c r="A15" s="113" t="s">
        <v>218</v>
      </c>
      <c r="B15" s="11" t="s">
        <v>219</v>
      </c>
      <c r="C15" s="6" t="s">
        <v>348</v>
      </c>
      <c r="D15" s="263">
        <v>0</v>
      </c>
      <c r="E15" s="11">
        <v>0</v>
      </c>
      <c r="F15" s="45"/>
      <c r="G15" s="45"/>
    </row>
    <row r="16" spans="1:7" ht="16.5" customHeight="1">
      <c r="A16" s="113" t="s">
        <v>220</v>
      </c>
      <c r="B16" s="11" t="s">
        <v>221</v>
      </c>
      <c r="C16" s="6" t="s">
        <v>349</v>
      </c>
      <c r="D16" s="263">
        <v>119000</v>
      </c>
      <c r="E16" s="11">
        <v>0</v>
      </c>
      <c r="F16" s="45"/>
      <c r="G16" s="45"/>
    </row>
    <row r="17" spans="1:7" ht="18" customHeight="1">
      <c r="A17" s="113" t="s">
        <v>222</v>
      </c>
      <c r="B17" s="11" t="s">
        <v>223</v>
      </c>
      <c r="C17" s="6" t="s">
        <v>350</v>
      </c>
      <c r="D17" s="263">
        <v>0</v>
      </c>
      <c r="E17" s="11">
        <v>0</v>
      </c>
      <c r="F17" s="45"/>
      <c r="G17" s="45"/>
    </row>
    <row r="18" spans="1:7" ht="18.75" customHeight="1">
      <c r="A18" s="113" t="s">
        <v>224</v>
      </c>
      <c r="B18" s="14" t="s">
        <v>232</v>
      </c>
      <c r="C18" s="6" t="s">
        <v>351</v>
      </c>
      <c r="D18" s="263">
        <v>182463</v>
      </c>
      <c r="E18" s="11">
        <v>0</v>
      </c>
      <c r="F18" s="45"/>
      <c r="G18" s="45"/>
    </row>
    <row r="19" spans="1:7" ht="18.75" customHeight="1">
      <c r="A19" s="113">
        <v>6</v>
      </c>
      <c r="B19" s="14" t="s">
        <v>233</v>
      </c>
      <c r="C19" s="6" t="s">
        <v>352</v>
      </c>
      <c r="D19" s="263">
        <v>0</v>
      </c>
      <c r="E19" s="11">
        <v>0</v>
      </c>
      <c r="F19" s="45"/>
      <c r="G19" s="45"/>
    </row>
    <row r="20" spans="1:7" ht="13.5" thickBot="1">
      <c r="A20" s="114" t="s">
        <v>234</v>
      </c>
      <c r="B20" s="115" t="s">
        <v>235</v>
      </c>
      <c r="C20" s="53" t="s">
        <v>349</v>
      </c>
      <c r="D20" s="116">
        <v>126371</v>
      </c>
      <c r="E20" s="107">
        <v>0</v>
      </c>
      <c r="F20" s="45"/>
      <c r="G20" s="45"/>
    </row>
    <row r="21" spans="1:7" ht="15.75" customHeight="1" thickBot="1">
      <c r="A21" s="102" t="s">
        <v>236</v>
      </c>
      <c r="B21" s="117" t="s">
        <v>237</v>
      </c>
      <c r="C21" s="99"/>
      <c r="D21" s="108">
        <f>D22+D25</f>
        <v>550000</v>
      </c>
      <c r="E21" s="110">
        <f>E22+E23+E24+E25+E26+E27</f>
        <v>1196568</v>
      </c>
      <c r="F21" s="181"/>
      <c r="G21" s="181"/>
    </row>
    <row r="22" spans="1:7" ht="15.75" customHeight="1">
      <c r="A22" s="118" t="s">
        <v>217</v>
      </c>
      <c r="B22" s="119" t="s">
        <v>238</v>
      </c>
      <c r="C22" s="120" t="s">
        <v>353</v>
      </c>
      <c r="D22" s="264">
        <v>550000</v>
      </c>
      <c r="E22" s="382">
        <v>1086568</v>
      </c>
      <c r="F22" s="45"/>
      <c r="G22" s="45"/>
    </row>
    <row r="23" spans="1:7" ht="15.75" customHeight="1">
      <c r="A23" s="113" t="s">
        <v>218</v>
      </c>
      <c r="B23" s="11" t="s">
        <v>239</v>
      </c>
      <c r="C23" s="6" t="s">
        <v>354</v>
      </c>
      <c r="D23" s="263">
        <v>0</v>
      </c>
      <c r="E23" s="383">
        <v>50000</v>
      </c>
      <c r="F23" s="45"/>
      <c r="G23" s="45"/>
    </row>
    <row r="24" spans="1:7" ht="15.75" customHeight="1">
      <c r="A24" s="113" t="s">
        <v>220</v>
      </c>
      <c r="B24" s="11" t="s">
        <v>914</v>
      </c>
      <c r="C24" s="6" t="s">
        <v>353</v>
      </c>
      <c r="D24" s="263">
        <v>0</v>
      </c>
      <c r="E24" s="383">
        <v>60000</v>
      </c>
      <c r="F24" s="45"/>
      <c r="G24" s="45"/>
    </row>
    <row r="25" spans="1:13" ht="15.75" customHeight="1">
      <c r="A25" s="113" t="s">
        <v>222</v>
      </c>
      <c r="B25" s="11" t="s">
        <v>240</v>
      </c>
      <c r="C25" s="6" t="s">
        <v>355</v>
      </c>
      <c r="D25" s="263">
        <v>0</v>
      </c>
      <c r="E25" s="383">
        <v>0</v>
      </c>
      <c r="F25" s="45"/>
      <c r="G25" s="45"/>
      <c r="M25" s="45"/>
    </row>
    <row r="26" spans="1:7" ht="15.75" customHeight="1">
      <c r="A26" s="113" t="s">
        <v>224</v>
      </c>
      <c r="B26" s="11" t="s">
        <v>241</v>
      </c>
      <c r="C26" s="6" t="s">
        <v>356</v>
      </c>
      <c r="D26" s="263">
        <v>0</v>
      </c>
      <c r="E26" s="383">
        <v>0</v>
      </c>
      <c r="F26" s="45"/>
      <c r="G26" s="45"/>
    </row>
    <row r="27" spans="1:7" ht="15.75" customHeight="1" thickBot="1">
      <c r="A27" s="50" t="s">
        <v>253</v>
      </c>
      <c r="B27" s="121" t="s">
        <v>242</v>
      </c>
      <c r="C27" s="122" t="s">
        <v>862</v>
      </c>
      <c r="D27" s="265"/>
      <c r="E27" s="384">
        <v>0</v>
      </c>
      <c r="F27" s="45"/>
      <c r="G27" s="45"/>
    </row>
    <row r="28" spans="1:7" ht="24.75" customHeight="1">
      <c r="A28" s="498" t="s">
        <v>243</v>
      </c>
      <c r="B28" s="427" t="s">
        <v>863</v>
      </c>
      <c r="C28" s="499"/>
      <c r="D28" s="500"/>
      <c r="E28" s="501">
        <f>E21</f>
        <v>1196568</v>
      </c>
      <c r="F28" s="45"/>
      <c r="G28" s="45"/>
    </row>
    <row r="29" spans="1:7" ht="24" customHeight="1">
      <c r="A29" s="114" t="s">
        <v>712</v>
      </c>
      <c r="B29" s="115" t="s">
        <v>713</v>
      </c>
      <c r="C29" s="53"/>
      <c r="D29" s="116"/>
      <c r="E29" s="497">
        <f>E9-E28</f>
        <v>26874962</v>
      </c>
      <c r="F29" s="45"/>
      <c r="G29" s="45"/>
    </row>
    <row r="30" spans="1:7" ht="24.75" customHeight="1">
      <c r="A30" s="114" t="s">
        <v>714</v>
      </c>
      <c r="B30" s="115" t="s">
        <v>715</v>
      </c>
      <c r="C30" s="53"/>
      <c r="D30" s="116"/>
      <c r="E30" s="497">
        <f>E10-E29</f>
        <v>1164830</v>
      </c>
      <c r="F30" s="45"/>
      <c r="G30" s="45"/>
    </row>
    <row r="31" spans="1:7" ht="40.5" customHeight="1" thickBot="1">
      <c r="A31" s="50" t="s">
        <v>577</v>
      </c>
      <c r="B31" s="502" t="s">
        <v>716</v>
      </c>
      <c r="C31" s="122"/>
      <c r="D31" s="265">
        <v>0</v>
      </c>
      <c r="E31" s="384">
        <f>E13</f>
        <v>1164830</v>
      </c>
      <c r="F31" s="45"/>
      <c r="G31" s="45"/>
    </row>
    <row r="35" ht="30.75" customHeight="1">
      <c r="C35" t="s">
        <v>635</v>
      </c>
    </row>
  </sheetData>
  <mergeCells count="7">
    <mergeCell ref="H6:J7"/>
    <mergeCell ref="A3:J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4" sqref="H4"/>
    </sheetView>
  </sheetViews>
  <sheetFormatPr defaultColWidth="9.00390625" defaultRowHeight="12.75"/>
  <cols>
    <col min="1" max="1" width="4.00390625" style="0" customWidth="1"/>
    <col min="2" max="2" width="40.375" style="0" customWidth="1"/>
    <col min="3" max="3" width="9.625" style="0" customWidth="1"/>
    <col min="4" max="5" width="9.00390625" style="0" customWidth="1"/>
    <col min="6" max="7" width="8.875" style="0" customWidth="1"/>
    <col min="8" max="8" width="9.00390625" style="0" customWidth="1"/>
    <col min="9" max="9" width="8.625" style="0" customWidth="1"/>
  </cols>
  <sheetData>
    <row r="1" spans="8:11" ht="43.5" customHeight="1">
      <c r="H1" s="623" t="s">
        <v>7</v>
      </c>
      <c r="I1" s="623"/>
      <c r="J1" s="623"/>
      <c r="K1" s="623"/>
    </row>
    <row r="2" ht="12.75" hidden="1"/>
    <row r="3" ht="12.75" hidden="1"/>
    <row r="4" spans="2:3" ht="18" customHeight="1" thickBot="1">
      <c r="B4" s="622" t="s">
        <v>245</v>
      </c>
      <c r="C4" s="622"/>
    </row>
    <row r="5" spans="1:12" ht="16.5" customHeight="1" thickBot="1">
      <c r="A5" s="599" t="s">
        <v>205</v>
      </c>
      <c r="B5" s="597" t="s">
        <v>246</v>
      </c>
      <c r="C5" s="624" t="s">
        <v>429</v>
      </c>
      <c r="D5" s="625"/>
      <c r="E5" s="625"/>
      <c r="F5" s="625"/>
      <c r="G5" s="625"/>
      <c r="H5" s="625"/>
      <c r="I5" s="625"/>
      <c r="J5" s="625"/>
      <c r="K5" s="625"/>
      <c r="L5" s="626"/>
    </row>
    <row r="6" spans="1:12" ht="31.5" customHeight="1" thickBot="1">
      <c r="A6" s="600"/>
      <c r="B6" s="598"/>
      <c r="C6" s="95">
        <v>2005</v>
      </c>
      <c r="D6" s="95">
        <v>2006</v>
      </c>
      <c r="E6" s="416">
        <v>2007</v>
      </c>
      <c r="F6" s="416">
        <v>2008</v>
      </c>
      <c r="G6" s="416">
        <v>2009</v>
      </c>
      <c r="H6" s="95">
        <v>2010</v>
      </c>
      <c r="I6" s="95">
        <v>2011</v>
      </c>
      <c r="J6" s="95">
        <v>2012</v>
      </c>
      <c r="K6" s="271">
        <v>2013</v>
      </c>
      <c r="L6" s="95">
        <v>2014</v>
      </c>
    </row>
    <row r="7" spans="1:12" ht="13.5" thickBot="1">
      <c r="A7" s="123">
        <v>1</v>
      </c>
      <c r="B7" s="123">
        <v>2</v>
      </c>
      <c r="C7" s="123">
        <v>4</v>
      </c>
      <c r="D7" s="123">
        <v>5</v>
      </c>
      <c r="E7" s="259">
        <v>6</v>
      </c>
      <c r="F7" s="123">
        <v>7</v>
      </c>
      <c r="G7" s="123">
        <v>8</v>
      </c>
      <c r="H7" s="123">
        <v>9</v>
      </c>
      <c r="I7" s="123">
        <v>10</v>
      </c>
      <c r="J7" s="123">
        <v>11</v>
      </c>
      <c r="K7" s="124">
        <v>12</v>
      </c>
      <c r="L7" s="125">
        <v>13</v>
      </c>
    </row>
    <row r="8" spans="1:12" ht="15.75" customHeight="1">
      <c r="A8" s="126" t="s">
        <v>217</v>
      </c>
      <c r="B8" s="127" t="s">
        <v>247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30">
        <v>0</v>
      </c>
      <c r="J8" s="301">
        <v>0</v>
      </c>
      <c r="K8" s="309">
        <v>0</v>
      </c>
      <c r="L8" s="301">
        <v>0</v>
      </c>
    </row>
    <row r="9" spans="1:12" ht="29.25" customHeight="1">
      <c r="A9" s="128" t="s">
        <v>218</v>
      </c>
      <c r="B9" s="129" t="s">
        <v>394</v>
      </c>
      <c r="C9" s="329">
        <v>8272230</v>
      </c>
      <c r="D9" s="329">
        <v>7222230</v>
      </c>
      <c r="E9" s="329">
        <v>6122230</v>
      </c>
      <c r="F9" s="320">
        <v>5004505</v>
      </c>
      <c r="G9" s="329">
        <v>3814505</v>
      </c>
      <c r="H9" s="329">
        <v>2664505</v>
      </c>
      <c r="I9" s="329">
        <v>1514505</v>
      </c>
      <c r="J9" s="299">
        <v>364505</v>
      </c>
      <c r="K9" s="313">
        <v>0</v>
      </c>
      <c r="L9" s="299">
        <v>0</v>
      </c>
    </row>
    <row r="10" spans="1:12" ht="15" customHeight="1">
      <c r="A10" s="128" t="s">
        <v>220</v>
      </c>
      <c r="B10" s="130" t="s">
        <v>896</v>
      </c>
      <c r="C10" s="329">
        <v>134000</v>
      </c>
      <c r="D10" s="329">
        <v>72000</v>
      </c>
      <c r="E10" s="329">
        <v>36000</v>
      </c>
      <c r="F10" s="320">
        <v>0</v>
      </c>
      <c r="G10" s="329">
        <v>0</v>
      </c>
      <c r="H10" s="329">
        <v>0</v>
      </c>
      <c r="I10" s="329">
        <v>0</v>
      </c>
      <c r="J10" s="299">
        <v>0</v>
      </c>
      <c r="K10" s="313">
        <v>0</v>
      </c>
      <c r="L10" s="299">
        <v>0</v>
      </c>
    </row>
    <row r="11" spans="1:12" ht="15.75" customHeight="1" thickBot="1">
      <c r="A11" s="132" t="s">
        <v>222</v>
      </c>
      <c r="B11" s="130" t="s">
        <v>428</v>
      </c>
      <c r="C11" s="321">
        <v>1164830</v>
      </c>
      <c r="D11" s="321">
        <v>1114830</v>
      </c>
      <c r="E11" s="321">
        <v>1014830</v>
      </c>
      <c r="F11" s="321">
        <v>964830</v>
      </c>
      <c r="G11" s="321">
        <v>914830</v>
      </c>
      <c r="H11" s="321">
        <v>864830</v>
      </c>
      <c r="I11" s="322">
        <v>764830</v>
      </c>
      <c r="J11" s="304">
        <v>664830</v>
      </c>
      <c r="K11" s="327">
        <v>564830</v>
      </c>
      <c r="L11" s="304">
        <v>0</v>
      </c>
    </row>
    <row r="12" spans="1:12" ht="30" customHeight="1" thickBot="1">
      <c r="A12" s="95">
        <v>5</v>
      </c>
      <c r="B12" s="283" t="s">
        <v>578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0</v>
      </c>
      <c r="I12" s="331">
        <v>0</v>
      </c>
      <c r="J12" s="319">
        <v>0</v>
      </c>
      <c r="K12" s="415">
        <v>0</v>
      </c>
      <c r="L12" s="319">
        <v>0</v>
      </c>
    </row>
    <row r="13" spans="1:12" ht="26.25" customHeight="1">
      <c r="A13" s="126">
        <v>6</v>
      </c>
      <c r="B13" s="335" t="s">
        <v>248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30">
        <v>0</v>
      </c>
      <c r="L13" s="328">
        <v>0</v>
      </c>
    </row>
    <row r="14" spans="1:12" ht="15" customHeight="1">
      <c r="A14" s="128"/>
      <c r="B14" s="131" t="s">
        <v>249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9">
        <v>0</v>
      </c>
      <c r="L14" s="320">
        <v>0</v>
      </c>
    </row>
    <row r="15" spans="1:12" ht="13.5" customHeight="1">
      <c r="A15" s="128"/>
      <c r="B15" s="131" t="s">
        <v>250</v>
      </c>
      <c r="C15" s="320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9">
        <v>0</v>
      </c>
      <c r="L15" s="320">
        <v>0</v>
      </c>
    </row>
    <row r="16" spans="1:12" ht="15.75" customHeight="1">
      <c r="A16" s="128"/>
      <c r="B16" s="131" t="s">
        <v>251</v>
      </c>
      <c r="C16" s="320">
        <v>0</v>
      </c>
      <c r="D16" s="320">
        <v>0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9">
        <v>0</v>
      </c>
      <c r="L16" s="320">
        <v>0</v>
      </c>
    </row>
    <row r="17" spans="1:12" ht="15.75" customHeight="1">
      <c r="A17" s="128"/>
      <c r="B17" s="131" t="s">
        <v>252</v>
      </c>
      <c r="C17" s="320">
        <v>0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9">
        <v>0</v>
      </c>
      <c r="L17" s="320">
        <v>0</v>
      </c>
    </row>
    <row r="18" spans="1:12" ht="19.5" customHeight="1">
      <c r="A18" s="128">
        <v>7</v>
      </c>
      <c r="B18" s="131" t="s">
        <v>254</v>
      </c>
      <c r="C18" s="320">
        <f aca="true" t="shared" si="0" ref="C18:L18">C9+C10+C12+C11</f>
        <v>9571060</v>
      </c>
      <c r="D18" s="320">
        <f t="shared" si="0"/>
        <v>8409060</v>
      </c>
      <c r="E18" s="320">
        <f t="shared" si="0"/>
        <v>7173060</v>
      </c>
      <c r="F18" s="320">
        <f t="shared" si="0"/>
        <v>5969335</v>
      </c>
      <c r="G18" s="320">
        <f t="shared" si="0"/>
        <v>4729335</v>
      </c>
      <c r="H18" s="320">
        <f t="shared" si="0"/>
        <v>3529335</v>
      </c>
      <c r="I18" s="320">
        <f t="shared" si="0"/>
        <v>2279335</v>
      </c>
      <c r="J18" s="320">
        <f t="shared" si="0"/>
        <v>1029335</v>
      </c>
      <c r="K18" s="320">
        <f t="shared" si="0"/>
        <v>564830</v>
      </c>
      <c r="L18" s="320">
        <f t="shared" si="0"/>
        <v>0</v>
      </c>
    </row>
    <row r="19" spans="1:12" ht="19.5" customHeight="1" thickBot="1">
      <c r="A19" s="132">
        <v>8</v>
      </c>
      <c r="B19" s="336" t="s">
        <v>256</v>
      </c>
      <c r="C19" s="337">
        <f>'z1a'!B21</f>
        <v>28071530</v>
      </c>
      <c r="D19" s="337">
        <v>28000000</v>
      </c>
      <c r="E19" s="337">
        <v>28200000</v>
      </c>
      <c r="F19" s="332">
        <v>28400000</v>
      </c>
      <c r="G19" s="337">
        <v>28600000</v>
      </c>
      <c r="H19" s="337">
        <v>28700000</v>
      </c>
      <c r="I19" s="332">
        <v>28800000</v>
      </c>
      <c r="J19" s="332">
        <v>28900000</v>
      </c>
      <c r="K19" s="337">
        <v>29000000</v>
      </c>
      <c r="L19" s="332">
        <v>29500000</v>
      </c>
    </row>
    <row r="20" spans="1:12" ht="21" customHeight="1">
      <c r="A20" s="6">
        <v>9</v>
      </c>
      <c r="B20" s="44" t="s">
        <v>289</v>
      </c>
      <c r="C20" s="333">
        <f aca="true" t="shared" si="1" ref="C20:K20">C18/C19</f>
        <v>0.3409525594080551</v>
      </c>
      <c r="D20" s="333">
        <f t="shared" si="1"/>
        <v>0.3003235714285714</v>
      </c>
      <c r="E20" s="333">
        <f t="shared" si="1"/>
        <v>0.25436382978723404</v>
      </c>
      <c r="F20" s="333">
        <f t="shared" si="1"/>
        <v>0.21018785211267604</v>
      </c>
      <c r="G20" s="333">
        <f t="shared" si="1"/>
        <v>0.16536136363636364</v>
      </c>
      <c r="H20" s="333">
        <f t="shared" si="1"/>
        <v>0.1229733449477352</v>
      </c>
      <c r="I20" s="334">
        <f t="shared" si="1"/>
        <v>0.07914357638888889</v>
      </c>
      <c r="J20" s="334">
        <f t="shared" si="1"/>
        <v>0.03561712802768166</v>
      </c>
      <c r="K20" s="334">
        <f t="shared" si="1"/>
        <v>0.01947689655172414</v>
      </c>
      <c r="L20" s="44">
        <v>0</v>
      </c>
    </row>
    <row r="21" spans="1:12" ht="27" customHeight="1" hidden="1" thickBot="1">
      <c r="A21" s="282">
        <v>9</v>
      </c>
      <c r="B21" s="281" t="s">
        <v>578</v>
      </c>
      <c r="C21" s="323"/>
      <c r="D21" s="323"/>
      <c r="E21" s="323"/>
      <c r="F21" s="323"/>
      <c r="G21" s="323"/>
      <c r="H21" s="323"/>
      <c r="I21" s="323"/>
      <c r="J21" s="291"/>
      <c r="K21" s="291"/>
      <c r="L21" s="107"/>
    </row>
    <row r="22" spans="1:12" ht="13.5" customHeight="1">
      <c r="A22" s="240"/>
      <c r="B22" s="45"/>
      <c r="C22" s="324"/>
      <c r="D22" s="324"/>
      <c r="E22" s="324"/>
      <c r="F22" s="324"/>
      <c r="G22" s="324"/>
      <c r="H22" s="325"/>
      <c r="I22" s="291"/>
      <c r="J22" s="291"/>
      <c r="K22" s="291"/>
      <c r="L22" s="45"/>
    </row>
    <row r="23" spans="2:12" ht="17.25" customHeight="1">
      <c r="B23" s="254" t="s">
        <v>395</v>
      </c>
      <c r="C23" s="299">
        <v>1086568</v>
      </c>
      <c r="D23" s="299">
        <v>1050000</v>
      </c>
      <c r="E23" s="326">
        <v>1100000</v>
      </c>
      <c r="F23" s="326">
        <v>1117725</v>
      </c>
      <c r="G23" s="326">
        <v>1190000</v>
      </c>
      <c r="H23" s="299">
        <v>1150000</v>
      </c>
      <c r="I23" s="299">
        <v>1150000</v>
      </c>
      <c r="J23" s="299">
        <v>1150000</v>
      </c>
      <c r="K23" s="313">
        <v>364505</v>
      </c>
      <c r="L23" s="299">
        <v>0</v>
      </c>
    </row>
    <row r="24" spans="2:12" ht="12.75" hidden="1">
      <c r="B24" s="254"/>
      <c r="C24" s="299"/>
      <c r="D24" s="299"/>
      <c r="E24" s="326"/>
      <c r="F24" s="326"/>
      <c r="G24" s="326"/>
      <c r="H24" s="299"/>
      <c r="I24" s="299"/>
      <c r="J24" s="299"/>
      <c r="K24" s="313"/>
      <c r="L24" s="299"/>
    </row>
    <row r="25" spans="2:12" ht="12" customHeight="1" hidden="1">
      <c r="B25" s="11"/>
      <c r="C25" s="299"/>
      <c r="D25" s="299"/>
      <c r="E25" s="299"/>
      <c r="F25" s="299"/>
      <c r="G25" s="299"/>
      <c r="H25" s="299"/>
      <c r="I25" s="299"/>
      <c r="J25" s="299"/>
      <c r="K25" s="313"/>
      <c r="L25" s="299"/>
    </row>
    <row r="26" spans="2:12" ht="12.75" hidden="1">
      <c r="B26" s="44"/>
      <c r="C26" s="301"/>
      <c r="D26" s="301"/>
      <c r="E26" s="301"/>
      <c r="F26" s="301"/>
      <c r="G26" s="309"/>
      <c r="H26" s="309"/>
      <c r="I26" s="301"/>
      <c r="J26" s="299"/>
      <c r="K26" s="313"/>
      <c r="L26" s="299"/>
    </row>
    <row r="27" spans="2:12" ht="27" customHeight="1" hidden="1">
      <c r="B27" s="115"/>
      <c r="C27" s="304"/>
      <c r="D27" s="304"/>
      <c r="E27" s="304"/>
      <c r="F27" s="304"/>
      <c r="G27" s="327"/>
      <c r="H27" s="327"/>
      <c r="I27" s="304"/>
      <c r="J27" s="304"/>
      <c r="K27" s="327"/>
      <c r="L27" s="299"/>
    </row>
    <row r="28" spans="2:12" ht="12.75" hidden="1">
      <c r="B28" s="62"/>
      <c r="C28" s="301"/>
      <c r="D28" s="301"/>
      <c r="E28" s="301"/>
      <c r="F28" s="301"/>
      <c r="G28" s="309"/>
      <c r="H28" s="309"/>
      <c r="I28" s="301"/>
      <c r="J28" s="301"/>
      <c r="K28" s="309"/>
      <c r="L28" s="299"/>
    </row>
    <row r="29" spans="2:12" ht="12.75">
      <c r="B29" s="44" t="s">
        <v>396</v>
      </c>
      <c r="C29" s="301">
        <v>60000</v>
      </c>
      <c r="D29" s="301">
        <v>62000</v>
      </c>
      <c r="E29" s="301">
        <v>36000</v>
      </c>
      <c r="F29" s="301">
        <v>36000</v>
      </c>
      <c r="G29" s="309">
        <v>0</v>
      </c>
      <c r="H29" s="309">
        <v>0</v>
      </c>
      <c r="I29" s="301">
        <v>0</v>
      </c>
      <c r="J29" s="299">
        <v>0</v>
      </c>
      <c r="K29" s="313">
        <v>0</v>
      </c>
      <c r="L29" s="299">
        <v>0</v>
      </c>
    </row>
    <row r="30" spans="2:12" ht="25.5">
      <c r="B30" s="62" t="s">
        <v>397</v>
      </c>
      <c r="C30" s="301">
        <v>0</v>
      </c>
      <c r="D30" s="301">
        <v>50000</v>
      </c>
      <c r="E30" s="301">
        <v>100000</v>
      </c>
      <c r="F30" s="301">
        <v>50000</v>
      </c>
      <c r="G30" s="309">
        <v>50000</v>
      </c>
      <c r="H30" s="309">
        <v>50000</v>
      </c>
      <c r="I30" s="301">
        <v>100000</v>
      </c>
      <c r="J30" s="299">
        <v>100000</v>
      </c>
      <c r="K30" s="313">
        <v>100000</v>
      </c>
      <c r="L30" s="299">
        <v>564830</v>
      </c>
    </row>
    <row r="31" spans="2:12" ht="12.75">
      <c r="B31" s="19" t="s">
        <v>505</v>
      </c>
      <c r="C31" s="308">
        <f aca="true" t="shared" si="2" ref="C31:L31">C23+C29+C30</f>
        <v>1146568</v>
      </c>
      <c r="D31" s="308">
        <f t="shared" si="2"/>
        <v>1162000</v>
      </c>
      <c r="E31" s="308">
        <f t="shared" si="2"/>
        <v>1236000</v>
      </c>
      <c r="F31" s="308">
        <f t="shared" si="2"/>
        <v>1203725</v>
      </c>
      <c r="G31" s="308">
        <f t="shared" si="2"/>
        <v>1240000</v>
      </c>
      <c r="H31" s="308">
        <f t="shared" si="2"/>
        <v>1200000</v>
      </c>
      <c r="I31" s="308">
        <f t="shared" si="2"/>
        <v>1250000</v>
      </c>
      <c r="J31" s="308">
        <f t="shared" si="2"/>
        <v>1250000</v>
      </c>
      <c r="K31" s="308">
        <f t="shared" si="2"/>
        <v>464505</v>
      </c>
      <c r="L31" s="308">
        <f t="shared" si="2"/>
        <v>564830</v>
      </c>
    </row>
    <row r="32" spans="2:9" ht="12.75">
      <c r="B32" s="208"/>
      <c r="C32" s="181"/>
      <c r="D32" s="181"/>
      <c r="E32" s="181"/>
      <c r="F32" s="181"/>
      <c r="G32" s="181"/>
      <c r="H32" s="181"/>
      <c r="I32" s="181"/>
    </row>
    <row r="33" ht="24" customHeight="1">
      <c r="E33" s="146" t="s">
        <v>635</v>
      </c>
    </row>
  </sheetData>
  <mergeCells count="5">
    <mergeCell ref="B4:C4"/>
    <mergeCell ref="A5:A6"/>
    <mergeCell ref="B5:B6"/>
    <mergeCell ref="H1:K1"/>
    <mergeCell ref="C5:L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C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8" width="10.375" style="0" customWidth="1"/>
    <col min="9" max="9" width="10.625" style="0" customWidth="1"/>
    <col min="10" max="10" width="10.25390625" style="0" customWidth="1"/>
    <col min="11" max="11" width="11.125" style="0" hidden="1" customWidth="1"/>
    <col min="12" max="12" width="28.125" style="0" customWidth="1"/>
  </cols>
  <sheetData>
    <row r="1" spans="11:12" ht="17.25" customHeight="1" hidden="1">
      <c r="K1" s="566" t="s">
        <v>8</v>
      </c>
      <c r="L1" s="566"/>
    </row>
    <row r="2" spans="11:12" ht="44.25" customHeight="1">
      <c r="K2" s="566"/>
      <c r="L2" s="566"/>
    </row>
    <row r="3" spans="1:12" ht="33.75" customHeight="1">
      <c r="A3" s="627" t="s">
        <v>669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12" ht="15.75" customHeight="1">
      <c r="A4" s="543" t="s">
        <v>306</v>
      </c>
      <c r="B4" s="543" t="s">
        <v>106</v>
      </c>
      <c r="C4" s="628" t="s">
        <v>693</v>
      </c>
      <c r="D4" s="542" t="s">
        <v>307</v>
      </c>
      <c r="E4" s="555" t="s">
        <v>297</v>
      </c>
      <c r="F4" s="555"/>
      <c r="G4" s="555"/>
      <c r="H4" s="555"/>
      <c r="I4" s="555"/>
      <c r="J4" s="555"/>
      <c r="K4" s="555"/>
      <c r="L4" s="542" t="s">
        <v>892</v>
      </c>
    </row>
    <row r="5" spans="1:12" ht="15.75" customHeight="1">
      <c r="A5" s="543"/>
      <c r="B5" s="543"/>
      <c r="C5" s="629"/>
      <c r="D5" s="542"/>
      <c r="E5" s="542" t="s">
        <v>308</v>
      </c>
      <c r="F5" s="555" t="s">
        <v>299</v>
      </c>
      <c r="G5" s="555"/>
      <c r="H5" s="555"/>
      <c r="I5" s="555"/>
      <c r="J5" s="555"/>
      <c r="K5" s="555"/>
      <c r="L5" s="542"/>
    </row>
    <row r="6" spans="1:12" ht="74.25" customHeight="1">
      <c r="A6" s="543"/>
      <c r="B6" s="543"/>
      <c r="C6" s="630"/>
      <c r="D6" s="542"/>
      <c r="E6" s="542"/>
      <c r="F6" s="133" t="s">
        <v>300</v>
      </c>
      <c r="G6" s="133" t="s">
        <v>141</v>
      </c>
      <c r="H6" s="133" t="s">
        <v>932</v>
      </c>
      <c r="I6" s="293" t="s">
        <v>928</v>
      </c>
      <c r="J6" s="293" t="s">
        <v>911</v>
      </c>
      <c r="K6" s="140"/>
      <c r="L6" s="542"/>
    </row>
    <row r="7" spans="1:12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9</v>
      </c>
      <c r="L7" s="6">
        <v>11</v>
      </c>
    </row>
    <row r="8" ht="12.75" hidden="1"/>
    <row r="9" spans="1:12" ht="39" customHeight="1">
      <c r="A9" s="11">
        <v>600</v>
      </c>
      <c r="B9" s="11">
        <v>60014</v>
      </c>
      <c r="C9" s="11">
        <v>6050</v>
      </c>
      <c r="D9" s="14" t="s">
        <v>927</v>
      </c>
      <c r="E9" s="280">
        <f aca="true" t="shared" si="0" ref="E9:E14">F9+G9+H9+I9+J9</f>
        <v>40000</v>
      </c>
      <c r="F9" s="280">
        <v>20000</v>
      </c>
      <c r="G9" s="280">
        <v>0</v>
      </c>
      <c r="H9" s="280">
        <v>0</v>
      </c>
      <c r="I9" s="280">
        <v>20000</v>
      </c>
      <c r="J9" s="280">
        <v>0</v>
      </c>
      <c r="K9" s="280"/>
      <c r="L9" s="52" t="s">
        <v>454</v>
      </c>
    </row>
    <row r="10" spans="1:12" ht="50.25" customHeight="1">
      <c r="A10" s="11">
        <v>600</v>
      </c>
      <c r="B10" s="11">
        <v>60014</v>
      </c>
      <c r="C10" s="11">
        <v>6050</v>
      </c>
      <c r="D10" s="14" t="s">
        <v>929</v>
      </c>
      <c r="E10" s="280">
        <f t="shared" si="0"/>
        <v>155000</v>
      </c>
      <c r="F10" s="280">
        <v>37500</v>
      </c>
      <c r="G10" s="280">
        <v>0</v>
      </c>
      <c r="H10" s="280">
        <v>0</v>
      </c>
      <c r="I10" s="280">
        <v>40000</v>
      </c>
      <c r="J10" s="280">
        <v>77500</v>
      </c>
      <c r="K10" s="280">
        <v>0</v>
      </c>
      <c r="L10" s="52" t="s">
        <v>454</v>
      </c>
    </row>
    <row r="11" spans="1:12" ht="35.25" customHeight="1">
      <c r="A11" s="11">
        <v>854</v>
      </c>
      <c r="B11" s="11">
        <v>85410</v>
      </c>
      <c r="C11" s="11">
        <v>6059</v>
      </c>
      <c r="D11" s="52" t="s">
        <v>140</v>
      </c>
      <c r="E11" s="280">
        <f t="shared" si="0"/>
        <v>609000</v>
      </c>
      <c r="F11" s="280">
        <v>159000</v>
      </c>
      <c r="G11" s="280">
        <v>450000</v>
      </c>
      <c r="H11" s="280">
        <v>0</v>
      </c>
      <c r="I11" s="280">
        <v>0</v>
      </c>
      <c r="J11" s="280">
        <v>0</v>
      </c>
      <c r="K11" s="280">
        <v>0</v>
      </c>
      <c r="L11" s="52" t="s">
        <v>930</v>
      </c>
    </row>
    <row r="12" spans="1:12" ht="37.5" customHeight="1">
      <c r="A12" s="11">
        <v>710</v>
      </c>
      <c r="B12" s="11">
        <v>71015</v>
      </c>
      <c r="C12" s="11">
        <v>6060</v>
      </c>
      <c r="D12" s="52" t="s">
        <v>931</v>
      </c>
      <c r="E12" s="280">
        <f t="shared" si="0"/>
        <v>3500</v>
      </c>
      <c r="F12" s="280">
        <v>0</v>
      </c>
      <c r="G12" s="280">
        <v>0</v>
      </c>
      <c r="H12" s="280">
        <v>3500</v>
      </c>
      <c r="I12" s="280">
        <v>0</v>
      </c>
      <c r="J12" s="280">
        <v>0</v>
      </c>
      <c r="K12" s="280">
        <v>0</v>
      </c>
      <c r="L12" s="52" t="s">
        <v>912</v>
      </c>
    </row>
    <row r="13" spans="1:12" ht="36" customHeight="1">
      <c r="A13" s="11">
        <v>754</v>
      </c>
      <c r="B13" s="11">
        <v>75414</v>
      </c>
      <c r="C13" s="11">
        <v>6060</v>
      </c>
      <c r="D13" s="52" t="s">
        <v>933</v>
      </c>
      <c r="E13" s="280">
        <f t="shared" si="0"/>
        <v>21000</v>
      </c>
      <c r="F13" s="280">
        <v>0</v>
      </c>
      <c r="G13" s="280">
        <v>0</v>
      </c>
      <c r="H13" s="280">
        <v>21000</v>
      </c>
      <c r="I13" s="280">
        <v>0</v>
      </c>
      <c r="J13" s="280">
        <v>0</v>
      </c>
      <c r="K13" s="280">
        <v>0</v>
      </c>
      <c r="L13" s="52" t="s">
        <v>453</v>
      </c>
    </row>
    <row r="14" spans="1:12" ht="2.25" customHeight="1" hidden="1">
      <c r="A14" s="11">
        <v>853</v>
      </c>
      <c r="B14" s="11">
        <v>85202</v>
      </c>
      <c r="C14" s="11">
        <v>6050</v>
      </c>
      <c r="D14" s="408" t="s">
        <v>913</v>
      </c>
      <c r="E14" s="280">
        <f t="shared" si="0"/>
        <v>0</v>
      </c>
      <c r="F14" s="280">
        <v>0</v>
      </c>
      <c r="G14" s="280">
        <v>0</v>
      </c>
      <c r="H14" s="280"/>
      <c r="I14" s="280">
        <v>0</v>
      </c>
      <c r="J14" s="280">
        <v>0</v>
      </c>
      <c r="K14" s="280"/>
      <c r="L14" s="52" t="s">
        <v>587</v>
      </c>
    </row>
    <row r="15" spans="1:12" ht="32.25" customHeight="1">
      <c r="A15" s="590" t="s">
        <v>191</v>
      </c>
      <c r="B15" s="591"/>
      <c r="C15" s="591"/>
      <c r="D15" s="592"/>
      <c r="E15" s="12">
        <f aca="true" t="shared" si="1" ref="E15:J15">E9+E10+E11+E12+E13</f>
        <v>828500</v>
      </c>
      <c r="F15" s="12">
        <f t="shared" si="1"/>
        <v>216500</v>
      </c>
      <c r="G15" s="12">
        <f t="shared" si="1"/>
        <v>450000</v>
      </c>
      <c r="H15" s="12">
        <f t="shared" si="1"/>
        <v>24500</v>
      </c>
      <c r="I15" s="12">
        <f t="shared" si="1"/>
        <v>60000</v>
      </c>
      <c r="J15" s="12">
        <f t="shared" si="1"/>
        <v>77500</v>
      </c>
      <c r="K15" s="12">
        <f>K13+K12+K11+K10+K9</f>
        <v>0</v>
      </c>
      <c r="L15" s="144" t="s">
        <v>576</v>
      </c>
    </row>
    <row r="16" spans="6:8" ht="12.75">
      <c r="F16" t="s">
        <v>635</v>
      </c>
      <c r="G16" s="145"/>
      <c r="H16" s="145"/>
    </row>
    <row r="18" ht="27" customHeight="1"/>
  </sheetData>
  <mergeCells count="11">
    <mergeCell ref="A3:L3"/>
    <mergeCell ref="C4:C6"/>
    <mergeCell ref="K1:L2"/>
    <mergeCell ref="A15:D15"/>
    <mergeCell ref="L4:L6"/>
    <mergeCell ref="F5:K5"/>
    <mergeCell ref="A4:A6"/>
    <mergeCell ref="B4:B6"/>
    <mergeCell ref="D4:D6"/>
    <mergeCell ref="E5:E6"/>
    <mergeCell ref="E4:K4"/>
  </mergeCells>
  <printOptions horizontalCentered="1" verticalCentered="1"/>
  <pageMargins left="0.3937007874015748" right="0.3937007874015748" top="0.1968503937007874" bottom="0.7874015748031497" header="0.5118110236220472" footer="0.5118110236220472"/>
  <pageSetup horizontalDpi="360" verticalDpi="36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STAROSTWO POWIATOWE</cp:lastModifiedBy>
  <cp:lastPrinted>2005-01-17T13:14:42Z</cp:lastPrinted>
  <dcterms:created xsi:type="dcterms:W3CDTF">2002-03-22T09:59:04Z</dcterms:created>
  <dcterms:modified xsi:type="dcterms:W3CDTF">2005-02-08T13:43:01Z</dcterms:modified>
  <cp:category/>
  <cp:version/>
  <cp:contentType/>
  <cp:contentStatus/>
</cp:coreProperties>
</file>