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599" activeTab="5"/>
  </bookViews>
  <sheets>
    <sheet name="Z1" sheetId="1" r:id="rId1"/>
    <sheet name="z1a" sheetId="2" r:id="rId2"/>
    <sheet name="Z 2" sheetId="3" r:id="rId3"/>
    <sheet name="Z 3 " sheetId="4" r:id="rId4"/>
    <sheet name="Z 4 " sheetId="5" r:id="rId5"/>
    <sheet name="Z 5 " sheetId="6" r:id="rId6"/>
    <sheet name="z6" sheetId="7" r:id="rId7"/>
    <sheet name="z7" sheetId="8" r:id="rId8"/>
    <sheet name="z8" sheetId="9" r:id="rId9"/>
    <sheet name="z9" sheetId="10" r:id="rId10"/>
    <sheet name="z9a" sheetId="11" r:id="rId11"/>
    <sheet name="z10" sheetId="12" r:id="rId12"/>
    <sheet name="z11" sheetId="13" r:id="rId13"/>
    <sheet name="z12" sheetId="14" r:id="rId14"/>
    <sheet name="z13" sheetId="15" r:id="rId15"/>
    <sheet name="z14" sheetId="16" r:id="rId16"/>
    <sheet name="z15" sheetId="17" r:id="rId17"/>
    <sheet name="z16" sheetId="18" r:id="rId18"/>
  </sheets>
  <definedNames>
    <definedName name="_xlnm.Print_Area" localSheetId="2">'Z 2'!$A$1:$O$626</definedName>
    <definedName name="_xlnm.Print_Area" localSheetId="3">'Z 3 '!$A$1:$G$152</definedName>
    <definedName name="_xlnm.Print_Area" localSheetId="5">'Z 5 '!$A$1:$F$141</definedName>
    <definedName name="_xlnm.Print_Area" localSheetId="11">'z10'!$A$1:$D$40</definedName>
    <definedName name="_xlnm.Print_Area" localSheetId="14">'z13'!$A$1:$C$38</definedName>
    <definedName name="_xlnm.Print_Titles" localSheetId="2">'Z 2'!$4:$8</definedName>
  </definedNames>
  <calcPr fullCalcOnLoad="1"/>
</workbook>
</file>

<file path=xl/sharedStrings.xml><?xml version="1.0" encoding="utf-8"?>
<sst xmlns="http://schemas.openxmlformats.org/spreadsheetml/2006/main" count="2573" uniqueCount="970">
  <si>
    <t xml:space="preserve">    5. Środki pozyskane z innych źródeł                                         (§ § 2460,6290,6291,6298,6430,6439)</t>
  </si>
  <si>
    <t xml:space="preserve">    4. Dotacje uzyskane z funduszy celowych (§§ 2440,6260)</t>
  </si>
  <si>
    <t>dotacja celowa otrzymana przez j.s.t. od innej j.s.t. będącej instytucją wdrażającą na zadania bieżące realizowane na podstawie porozumień i umów</t>
  </si>
  <si>
    <t>6649</t>
  </si>
  <si>
    <t>Dotacje celowe przekazane j.s.t. przez inną j.s.t. będącą instytucją wdrażającą na inwestycje i zakupy inwestycyjne realizowane na pdst.porozumień i umów</t>
  </si>
  <si>
    <t>pozostałe wydatki majątkowe (§§ 6150,6610,6649)</t>
  </si>
  <si>
    <t>Plany przychodów i wydatków dochodów własnych na rok 2006</t>
  </si>
  <si>
    <t>Dochody własne ogółem,                            w tym:</t>
  </si>
  <si>
    <t>Przedszkola Specjalne</t>
  </si>
  <si>
    <t>Szkoły Podstawowe Specjalne</t>
  </si>
  <si>
    <t>Pożyczki na finansowanie zadań realizowanych z udziałem środków pochodzących z budżetu UE</t>
  </si>
  <si>
    <t>§ 963</t>
  </si>
  <si>
    <t>Powiat augustowski</t>
  </si>
  <si>
    <t xml:space="preserve">Gmina Świętajno          </t>
  </si>
  <si>
    <t>Gmina Kowale Oleckie</t>
  </si>
  <si>
    <t>Powiat Gołdap</t>
  </si>
  <si>
    <t>Powiat Węgorzewo</t>
  </si>
  <si>
    <t>Powiat Suwałki</t>
  </si>
  <si>
    <t>Powiat Ełk</t>
  </si>
  <si>
    <t>Powiat Sejny</t>
  </si>
  <si>
    <t xml:space="preserve">Powiat Bartoszyce </t>
  </si>
  <si>
    <t>Powiat Grajewo</t>
  </si>
  <si>
    <t>część wyrównawcza subwencji ogólnej dla powiatów</t>
  </si>
  <si>
    <t>DOCHODY OGÓŁEM</t>
  </si>
  <si>
    <t>1. Dotacje celowe</t>
  </si>
  <si>
    <t>§ 2450-dotacje przekazane z funduszy celowych na realizację zadań bieżących dla jednostek niezalicznych do sektora finansów publicznych</t>
  </si>
  <si>
    <t>- uzysk.z f.celowych (§ 244, 626)</t>
  </si>
  <si>
    <t>/+/ zwiększenia</t>
  </si>
  <si>
    <t xml:space="preserve"> /-/ zmniejszenia</t>
  </si>
  <si>
    <t>Zmiana planu</t>
  </si>
  <si>
    <t>zmiana planu</t>
  </si>
  <si>
    <t>096</t>
  </si>
  <si>
    <t>Spadki, zapisy i darowizny w formie pieniężnej</t>
  </si>
  <si>
    <t>DOTACJE Z BUDŻETU PAŃSTWA NA REALIZACJĘ ZADAŃ WŁASNYCH POWIATU</t>
  </si>
  <si>
    <t>Nagrody i wyd.nie zal.do wynagr.</t>
  </si>
  <si>
    <t>Dotacje cel. na zad.zlec.jedn.nie zal. do sektora finansów publicznych</t>
  </si>
  <si>
    <t>Zakup leków i mater.medycznych</t>
  </si>
  <si>
    <t>4170</t>
  </si>
  <si>
    <t>dotacje celowe z zakresu administracji rządowej</t>
  </si>
  <si>
    <t>część oświatowa subwencji ogólnej dla jst</t>
  </si>
  <si>
    <t>pomoc materialna dla studentów</t>
  </si>
  <si>
    <t>dotacje celowe na zadania z zakresu administracji rządowej</t>
  </si>
  <si>
    <t>13.</t>
  </si>
  <si>
    <t xml:space="preserve">dotacje celowe otrzymane z powiatów na zadania bieżące </t>
  </si>
  <si>
    <t>dotacje celowe na zadania własne powiatu</t>
  </si>
  <si>
    <t>15.</t>
  </si>
  <si>
    <t>Pomoc materialna dla uczniów</t>
  </si>
  <si>
    <t>16.</t>
  </si>
  <si>
    <t>Gospodarka komunalna i ochrona środowiska</t>
  </si>
  <si>
    <t>fundusz ochrony środowiska i gospodarki wodnej</t>
  </si>
  <si>
    <t>17.</t>
  </si>
  <si>
    <t xml:space="preserve">2. Dochody własne </t>
  </si>
  <si>
    <t>Wynagrodzenia bezosobowe</t>
  </si>
  <si>
    <t>4350</t>
  </si>
  <si>
    <t>Opłaty za usługi internetowe</t>
  </si>
  <si>
    <t>OGÓŁEM DOTACJE NA ZADANIA WŁASNE</t>
  </si>
  <si>
    <t>Wyszczególnienie</t>
  </si>
  <si>
    <t>Stan funduszy na początek roku, w tym:</t>
  </si>
  <si>
    <t>- środki pieniężne</t>
  </si>
  <si>
    <t>- należności</t>
  </si>
  <si>
    <t>- zobowiązania</t>
  </si>
  <si>
    <t>- materiały</t>
  </si>
  <si>
    <t>Przychody</t>
  </si>
  <si>
    <t>Wydatki bieżące</t>
  </si>
  <si>
    <t>Stan funduszy na koniec roku, w tym:</t>
  </si>
  <si>
    <t>Lp</t>
  </si>
  <si>
    <t>Bursa Szkolna w Gołdapi</t>
  </si>
  <si>
    <t>6439</t>
  </si>
  <si>
    <t>6291</t>
  </si>
  <si>
    <t>Zespół Szkół Zawodowych w Gołdapi</t>
  </si>
  <si>
    <t>Specjalny Ośrodek Szkol-Wych Gołdap</t>
  </si>
  <si>
    <t>Dom Dziecka w Gołdapi</t>
  </si>
  <si>
    <t>Dom Dziecka w Olecku</t>
  </si>
  <si>
    <t>Powiatowa Stacja Sanit-Epid. w Olecku</t>
  </si>
  <si>
    <t>Zespół Szkół Ogólnok. w Gołdapi</t>
  </si>
  <si>
    <t>Kom. Pow. Państ. Straży Poż.  Olecko</t>
  </si>
  <si>
    <t>01022</t>
  </si>
  <si>
    <t>Zwalczanie chorób zakaźnych zwierząt</t>
  </si>
  <si>
    <t>3250</t>
  </si>
  <si>
    <t>stypendia różne</t>
  </si>
  <si>
    <t>4610</t>
  </si>
  <si>
    <t>Gospodarka leśna</t>
  </si>
  <si>
    <t>02001</t>
  </si>
  <si>
    <t>751</t>
  </si>
  <si>
    <t>75109</t>
  </si>
  <si>
    <t>§ 0830  - Wpływy z usług</t>
  </si>
  <si>
    <t>§ 0920  - Odsetki</t>
  </si>
  <si>
    <t>§0690-opłaty i kary z tyt.gosp.korzystania ze środowiska</t>
  </si>
  <si>
    <t>§2710-wpływy z tyt.pomocy finans.udziel.między j.s.t.na dofin.własnych zadań bieżących</t>
  </si>
  <si>
    <t>§ 6260 - dotacja z f-szy cel.na realiz.inwest.jedn.sekt.fin.publ.</t>
  </si>
  <si>
    <t>URZĘDY NACZELNYCH ORGANÓW WŁADZY PAŃSTWOWEJ, KONTROLI I OCHRONY PRAW ORAZ SADOWNICTWA</t>
  </si>
  <si>
    <t xml:space="preserve">Plan przychodów i wydatków Powiatowego Funduszu Ochrony Środowiska i Gospodarki Wodnej </t>
  </si>
  <si>
    <t>§ 2440-dotacje przekazane z funduszy celowych na realizację zadań bieżących dla jednostek sektora finansów publicznych</t>
  </si>
  <si>
    <t>Wydatki majątkowe, w tym</t>
  </si>
  <si>
    <t xml:space="preserve"> § 4210-zakup materiałów i wyposażenia</t>
  </si>
  <si>
    <t>Odsetki od kredytów i pożyczek</t>
  </si>
  <si>
    <t xml:space="preserve">                                                                          </t>
  </si>
  <si>
    <t>4530</t>
  </si>
  <si>
    <r>
      <t>Załącznik nr 2 do Uchwały Rady Powiatu w Olecku Nr</t>
    </r>
    <r>
      <rPr>
        <b/>
        <sz val="7"/>
        <rFont val="Arial CE"/>
        <family val="0"/>
      </rPr>
      <t xml:space="preserve"> </t>
    </r>
    <r>
      <rPr>
        <sz val="7"/>
        <rFont val="Arial CE"/>
        <family val="2"/>
      </rPr>
      <t>XXXVIII/278/05                                 z dnia 29 grudnia 2005 roku</t>
    </r>
  </si>
  <si>
    <t>Wybory do rad gmin, rad powiatów i sejmików województw oraz referenda gminne, powiatowe i wojew.</t>
  </si>
  <si>
    <t>Plan  2003</t>
  </si>
  <si>
    <t>0920</t>
  </si>
  <si>
    <t>0690</t>
  </si>
  <si>
    <t>0750</t>
  </si>
  <si>
    <t>0830</t>
  </si>
  <si>
    <t>0970</t>
  </si>
  <si>
    <t>0420</t>
  </si>
  <si>
    <t>0010</t>
  </si>
  <si>
    <t>0020</t>
  </si>
  <si>
    <t>2460</t>
  </si>
  <si>
    <t>2920</t>
  </si>
  <si>
    <t>- na zadania własne (§ 2130 i § 6430)</t>
  </si>
  <si>
    <t>Nagr.i wyd.nie zal.do wynagr</t>
  </si>
  <si>
    <t>Zakup leków i środków medycznych</t>
  </si>
  <si>
    <t>Podatek od towarów i usług (VAT)</t>
  </si>
  <si>
    <t>Nazwa jednostki</t>
  </si>
  <si>
    <t>rozdział</t>
  </si>
  <si>
    <t>kwota dotacji</t>
  </si>
  <si>
    <t>Centrum "Omega"</t>
  </si>
  <si>
    <t>Studium Policealne Hotelarstwa (zaoczne dla dorosłych)</t>
  </si>
  <si>
    <t>RAZEM</t>
  </si>
  <si>
    <t>Wyrównanie  z tyt.rozliczenia dotacji za 2002rok</t>
  </si>
  <si>
    <t xml:space="preserve"> </t>
  </si>
  <si>
    <t xml:space="preserve">- w ramach porozumień (umów) z j.s.t </t>
  </si>
  <si>
    <t>- pozostałe dotacje ( z f.cel.) i środki z innych źródeł</t>
  </si>
  <si>
    <t>Udziały powiatu w podatkach stanow.dochód budżetu państwa</t>
  </si>
  <si>
    <t>podatek doch.od osób fizyczn.</t>
  </si>
  <si>
    <t>Dochody od osób prawnych,  fizycznych i  innych jedn.nie posiad.osobow.prawnej</t>
  </si>
  <si>
    <t>Poradnie psychologiczno-pedagogiczne</t>
  </si>
  <si>
    <t xml:space="preserve">                                                 Przewodniczący Rady Powiatu: Wacław Sapieha</t>
  </si>
  <si>
    <t>Dochody i wydatki związane z realizacją zadań z zakresu administracji rządowej zleconych powiatowi i innych zadań zleconych ustawami</t>
  </si>
  <si>
    <t>Wydatki osob.nie zal. do wynagrodzeń</t>
  </si>
  <si>
    <t>Równiważniki i ekwiwalenty</t>
  </si>
  <si>
    <t xml:space="preserve"> Gmina Kowale Oleckie</t>
  </si>
  <si>
    <t xml:space="preserve"> Gmina Wieliczki</t>
  </si>
  <si>
    <t xml:space="preserve"> Gmina Olecko</t>
  </si>
  <si>
    <t xml:space="preserve"> Gmina Świętajno</t>
  </si>
  <si>
    <t xml:space="preserve"> Gmina Świętajno </t>
  </si>
  <si>
    <t xml:space="preserve"> Wieliczki</t>
  </si>
  <si>
    <t xml:space="preserve"> Powiat ełcki</t>
  </si>
  <si>
    <t>Gmina Wieliczki</t>
  </si>
  <si>
    <t>Gmina Świętajno</t>
  </si>
  <si>
    <t xml:space="preserve">Gmina Olecko  (biblioteka)        </t>
  </si>
  <si>
    <t>Miasto Suwałki</t>
  </si>
  <si>
    <t>Powiat suwalski</t>
  </si>
  <si>
    <t>Powiat gołdapski</t>
  </si>
  <si>
    <t xml:space="preserve">Gmina Olecko          </t>
  </si>
  <si>
    <t>Dotacja dla samorządu województwa</t>
  </si>
  <si>
    <t>Schroniska  młodzieżowe</t>
  </si>
  <si>
    <t>Plan przychodów i wydatków Powiatowego Funduszu Gospodarki Zasobem Geodezyjnym i Kartograficznym</t>
  </si>
  <si>
    <t>w zł.</t>
  </si>
  <si>
    <t>§ 2960-przelewy redystrybucyjne</t>
  </si>
  <si>
    <r>
      <t xml:space="preserve">Załącznik Nr 10 do Uchwały Rady Powiatu                                  w Olecku Nr </t>
    </r>
    <r>
      <rPr>
        <b/>
        <sz val="8"/>
        <rFont val="Arial CE"/>
        <family val="0"/>
      </rPr>
      <t>XXXVIII/278/05</t>
    </r>
    <r>
      <rPr>
        <sz val="8"/>
        <rFont val="Arial CE"/>
        <family val="0"/>
      </rPr>
      <t xml:space="preserve"> z dnia  29 grudnia 2005r.</t>
    </r>
  </si>
  <si>
    <r>
      <t>Załącznik Nr 11 do Uchwały Rady Powiatu w Olecku Nr</t>
    </r>
    <r>
      <rPr>
        <b/>
        <sz val="10"/>
        <rFont val="Arial CE"/>
        <family val="0"/>
      </rPr>
      <t xml:space="preserve"> XXXVIII/278/05</t>
    </r>
    <r>
      <rPr>
        <sz val="10"/>
        <rFont val="Arial CE"/>
        <family val="0"/>
      </rPr>
      <t xml:space="preserve"> z dnia 29 grudnia 2005 r.</t>
    </r>
  </si>
  <si>
    <t>Ośrodek Szkolno-Wychowawczy dla Dzieci Głuchych                          w Olecku</t>
  </si>
  <si>
    <t>Zespół Szkół Licealnych i Zawodowych w Olecku</t>
  </si>
  <si>
    <r>
      <t xml:space="preserve">Załacznik Nr 12 do Uchwały Rady Powiatu  w Olecku            Nr </t>
    </r>
    <r>
      <rPr>
        <b/>
        <sz val="10"/>
        <rFont val="Arial CE"/>
        <family val="0"/>
      </rPr>
      <t xml:space="preserve">XXXVIII/278/05  </t>
    </r>
    <r>
      <rPr>
        <sz val="10"/>
        <rFont val="Arial CE"/>
        <family val="2"/>
      </rPr>
      <t xml:space="preserve">                        z dnia 29 grudnia 2005r.</t>
    </r>
  </si>
  <si>
    <r>
      <t xml:space="preserve">Załącznik nr 13 do Uchwały Rady Powiatu </t>
    </r>
    <r>
      <rPr>
        <b/>
        <sz val="10"/>
        <rFont val="Arial CE"/>
        <family val="0"/>
      </rPr>
      <t xml:space="preserve">XXXVIII/278/05  </t>
    </r>
    <r>
      <rPr>
        <sz val="10"/>
        <rFont val="Arial CE"/>
        <family val="0"/>
      </rPr>
      <t xml:space="preserve">                                                                                        z dnia 29 grudnia 2005 r. </t>
    </r>
  </si>
  <si>
    <r>
      <t xml:space="preserve">Załącznik Nr 14 do Uchwały Rady Powiatu                    Nr </t>
    </r>
    <r>
      <rPr>
        <b/>
        <sz val="10"/>
        <rFont val="Arial CE"/>
        <family val="0"/>
      </rPr>
      <t>XXXVIII/278/05</t>
    </r>
    <r>
      <rPr>
        <sz val="10"/>
        <rFont val="Arial CE"/>
        <family val="0"/>
      </rPr>
      <t xml:space="preserve"> z dnia 29 grudnia 2005r.</t>
    </r>
  </si>
  <si>
    <r>
      <t xml:space="preserve">Załącznik nr 15 do Uchwały Rady Powiatu Nr </t>
    </r>
    <r>
      <rPr>
        <b/>
        <sz val="10"/>
        <rFont val="Arial CE"/>
        <family val="0"/>
      </rPr>
      <t>XXXVIII/278/05</t>
    </r>
    <r>
      <rPr>
        <sz val="10"/>
        <rFont val="Arial CE"/>
        <family val="2"/>
      </rPr>
      <t xml:space="preserve">                                                         z dnia 29 grudnia 2005r.</t>
    </r>
  </si>
  <si>
    <r>
      <t xml:space="preserve">Załącznik nr 16                                     do Uchwały Rady Powiatu                   Nr </t>
    </r>
    <r>
      <rPr>
        <b/>
        <sz val="10"/>
        <rFont val="Arial CE"/>
        <family val="0"/>
      </rPr>
      <t xml:space="preserve">XXXVIII/278/05 </t>
    </r>
    <r>
      <rPr>
        <sz val="10"/>
        <rFont val="Arial CE"/>
        <family val="0"/>
      </rPr>
      <t xml:space="preserve">                         z dnia 29 grudnia 2005r.</t>
    </r>
  </si>
  <si>
    <t>§ 4210-zakup matriałów i wyposażenia</t>
  </si>
  <si>
    <t>§ 4270-zakup usług remontowych</t>
  </si>
  <si>
    <t>§ 4300-zakup usług pozostałych</t>
  </si>
  <si>
    <t>§ 4410- podróże służbowe krajowe</t>
  </si>
  <si>
    <t>Wydatki majątkowe</t>
  </si>
  <si>
    <t>§ 6120- wydatki na zakupy inwestycyjne funduszy celowych</t>
  </si>
  <si>
    <t>(w zł)</t>
  </si>
  <si>
    <t>Kwota dotacji</t>
  </si>
  <si>
    <t>VIII.</t>
  </si>
  <si>
    <t>Udzielone przez powiat poręczenia i gwarancje (niewymagalne)</t>
  </si>
  <si>
    <t>dotacje cel.przekaz.gminie na podst.porozumień z jst</t>
  </si>
  <si>
    <t xml:space="preserve"> - Gmina Kowale Oleckie</t>
  </si>
  <si>
    <t>Urzędy marszałkowskie</t>
  </si>
  <si>
    <t>wydatki inwestycyjne jednostek budżetowych</t>
  </si>
  <si>
    <t>Wydatki inwestycyjne</t>
  </si>
  <si>
    <t>Wydatki na zakupy inwestycyjne</t>
  </si>
  <si>
    <t>Wynagr. osobowe pracowników</t>
  </si>
  <si>
    <t>Wynagr. os. czł. korp. sł. cywiln.</t>
  </si>
  <si>
    <t xml:space="preserve"> - Urząd Marszałkowski w Olsztynie</t>
  </si>
  <si>
    <t>Nazwa zadania</t>
  </si>
  <si>
    <t>OGÓŁEM KOWTA DOTACJI</t>
  </si>
  <si>
    <t>Umasowienie sportu wsród dzieci, młodzieży i dorosłych, promocja powiatu na imprezach ogólnopolskich oraz organizacja imprez ponadlokalnych na terenie powiatu oleckiego</t>
  </si>
  <si>
    <t>§ 6120- wydatki na zakupy inwestycyjne</t>
  </si>
  <si>
    <t>4580</t>
  </si>
  <si>
    <t>kary i odszkod.na rzecz os.fiz.</t>
  </si>
  <si>
    <t>wpływy z różnych doch.</t>
  </si>
  <si>
    <t xml:space="preserve">dochody z najmu i dzierżawy składników majątkowych </t>
  </si>
  <si>
    <t xml:space="preserve">środki na finan. własnych inwest. pozysk.z innych źródeł </t>
  </si>
  <si>
    <t>środki na finansowanie własnych inwest.pozysk. z innych źródeł</t>
  </si>
  <si>
    <t>- na zadania zlecone (§ 2110 i § 2120)</t>
  </si>
  <si>
    <t>Powiat. Inspektorat Wet. w  Olecku</t>
  </si>
  <si>
    <t>6630</t>
  </si>
  <si>
    <t>Dotacja przekaz.sam.woj.na inwest.</t>
  </si>
  <si>
    <t>Dotacja przekaz.gminie</t>
  </si>
  <si>
    <t>Wydatki inwest.jedn.budżetowych</t>
  </si>
  <si>
    <t>Kredyty zaciągane w bankach krajowych</t>
  </si>
  <si>
    <t>Ośrodki informacji turystycznej</t>
  </si>
  <si>
    <t>630</t>
  </si>
  <si>
    <t>TURYSTYKA</t>
  </si>
  <si>
    <t>63001</t>
  </si>
  <si>
    <t>dotacje celowe przekaz.gminie na inwestycje</t>
  </si>
  <si>
    <t>Przewodniczący Rady Powiatu: Wacław Sapieha</t>
  </si>
  <si>
    <t xml:space="preserve"> - dotacja z samorządu wojewódzkiego</t>
  </si>
  <si>
    <t>11.</t>
  </si>
  <si>
    <r>
      <t xml:space="preserve"> Załącznik nr 7                                      do Uchwały Rady Powiatu                  nr </t>
    </r>
    <r>
      <rPr>
        <b/>
        <sz val="8"/>
        <rFont val="Arial CE"/>
        <family val="0"/>
      </rPr>
      <t xml:space="preserve">XXXVIII/278/05 </t>
    </r>
    <r>
      <rPr>
        <sz val="8"/>
        <rFont val="Arial CE"/>
        <family val="2"/>
      </rPr>
      <t xml:space="preserve">                                   z dnia 29 grudnia 2005r.</t>
    </r>
  </si>
  <si>
    <r>
      <t xml:space="preserve">Załącznik nr 8 do Uchwały Rady Powiatu           Nr </t>
    </r>
    <r>
      <rPr>
        <b/>
        <sz val="10"/>
        <rFont val="Arial CE"/>
        <family val="0"/>
      </rPr>
      <t>XXXVIII/278/05</t>
    </r>
    <r>
      <rPr>
        <sz val="10"/>
        <rFont val="Arial CE"/>
        <family val="0"/>
      </rPr>
      <t xml:space="preserve"> z dnia 29 grudnia 2005r.</t>
    </r>
  </si>
  <si>
    <r>
      <t xml:space="preserve">Załącznik nr 9 do Uchwały Rady Powiatu nr </t>
    </r>
    <r>
      <rPr>
        <b/>
        <sz val="8"/>
        <rFont val="Arial CE"/>
        <family val="0"/>
      </rPr>
      <t>XXXVIII/278/05</t>
    </r>
    <r>
      <rPr>
        <sz val="8"/>
        <rFont val="Arial CE"/>
        <family val="2"/>
      </rPr>
      <t xml:space="preserve"> z dnia 29 grudnia 2005r.</t>
    </r>
  </si>
  <si>
    <t xml:space="preserve">  Kwoty długu na koniec roku w poszczególnych latach</t>
  </si>
  <si>
    <t>Spłata  pożyczek  zaciągniętych  w latach poprzednich</t>
  </si>
  <si>
    <r>
      <t xml:space="preserve">Załącznik nr 9a do Uchwały Rady Powiatu nr </t>
    </r>
    <r>
      <rPr>
        <b/>
        <sz val="10"/>
        <rFont val="Arial CE"/>
        <family val="0"/>
      </rPr>
      <t>XXXVIII/278/05</t>
    </r>
    <r>
      <rPr>
        <sz val="10"/>
        <rFont val="Arial CE"/>
        <family val="0"/>
      </rPr>
      <t xml:space="preserve"> z dnia 29 grudnia 2005r.</t>
    </r>
  </si>
  <si>
    <t>Dot.podmiot z budż. dla szkół niepub. (Centr.Ed. Spec.przy Środ.D.S.w Olecku")</t>
  </si>
  <si>
    <t>80123</t>
  </si>
  <si>
    <t>Licea profilowane</t>
  </si>
  <si>
    <t>Drogi publiczne powiatowe</t>
  </si>
  <si>
    <t xml:space="preserve"> - Gmina Wieliczki</t>
  </si>
  <si>
    <t xml:space="preserve"> - Gmina Olecko</t>
  </si>
  <si>
    <t xml:space="preserve"> - Gmina Świętajno</t>
  </si>
  <si>
    <t>4420</t>
  </si>
  <si>
    <t>Podróże służbowe zagraniczne</t>
  </si>
  <si>
    <t>Stan środków pieniężnych  na początku roku</t>
  </si>
  <si>
    <t xml:space="preserve">Wydatki  </t>
  </si>
  <si>
    <t>Stan środków pieniężnych  na koniec roku</t>
  </si>
  <si>
    <t>Opracowania geodez. i kartogr.</t>
  </si>
  <si>
    <t xml:space="preserve">Zakład Doskonalenia Zawodowego w Białymstoku </t>
  </si>
  <si>
    <t>Liceum Ogólnokształcące dla Dorosłych</t>
  </si>
  <si>
    <t>Liceum Ekonomiczne, Policealne Studium Zawodowe, Technikum</t>
  </si>
  <si>
    <t>Centrum Edukacji i Rozwoju Zawodowego w Olecku</t>
  </si>
  <si>
    <t xml:space="preserve">Liceum Ogólnokształcące dla Dorosłych </t>
  </si>
  <si>
    <t>Liceum Ekonomiczne, Studium Zarządzania Biznesem</t>
  </si>
  <si>
    <t>Centrum Edukacji Specjalnej  w Olecku</t>
  </si>
  <si>
    <t>Gimnazjum Specjalne</t>
  </si>
  <si>
    <t>Zasadnicza Szkoła Zawodowa, Szkoła przysposabiająca do pracy</t>
  </si>
  <si>
    <t>Przewodniczący Rady Powiatu</t>
  </si>
  <si>
    <t xml:space="preserve">   Wacław Sapieha</t>
  </si>
  <si>
    <t>2007r.</t>
  </si>
  <si>
    <t xml:space="preserve">*  uwaga! </t>
  </si>
  <si>
    <t>zwiększenia /+/</t>
  </si>
  <si>
    <t>zmniejszenia /-/</t>
  </si>
  <si>
    <t>3240</t>
  </si>
  <si>
    <t>Przewodniczący Rady: Wacław Sapieha</t>
  </si>
  <si>
    <t>dot. podmiot. z budż. dla SP ZOZ</t>
  </si>
  <si>
    <t xml:space="preserve">    dotacje (§ § 2310, 2320,2330, 2540,  2560, 2610,2820,2830, 2950)</t>
  </si>
  <si>
    <t>Samorząd województwa</t>
  </si>
  <si>
    <t>plan 2003</t>
  </si>
  <si>
    <t xml:space="preserve">odsetki  od kraj. poż. i kredyt. </t>
  </si>
  <si>
    <t>WYSZCZEGÓLNIENIE</t>
  </si>
  <si>
    <t>Dział, rozdz.</t>
  </si>
  <si>
    <t>§</t>
  </si>
  <si>
    <t>wyszczególnienie nazwa działu,rozdz.</t>
  </si>
  <si>
    <t>przewid. wykon.w 2000</t>
  </si>
  <si>
    <t>Plan 2001</t>
  </si>
  <si>
    <t>Zwieksze -nia (+)</t>
  </si>
  <si>
    <t>zmniejsze-nia (-)</t>
  </si>
  <si>
    <t>w tym</t>
  </si>
  <si>
    <t>zad.z zakresu admin.rząd.</t>
  </si>
  <si>
    <t>zadania własne</t>
  </si>
  <si>
    <t>porozum.i umowy</t>
  </si>
  <si>
    <t>010</t>
  </si>
  <si>
    <t>część równoważąca subwencji ogólnej dla powiatów</t>
  </si>
  <si>
    <t>ROLNICTWO I ŁOWIECTWO</t>
  </si>
  <si>
    <t>01021</t>
  </si>
  <si>
    <r>
      <t xml:space="preserve">Załącznik Nr 1 do Uchwały Rady Powiatu                                                           Nr </t>
    </r>
    <r>
      <rPr>
        <b/>
        <sz val="8"/>
        <rFont val="Arial CE"/>
        <family val="0"/>
      </rPr>
      <t>XXXVIII/278/05</t>
    </r>
    <r>
      <rPr>
        <sz val="8"/>
        <rFont val="Arial CE"/>
        <family val="2"/>
      </rPr>
      <t xml:space="preserve"> z dnia 29 grudnia 2005r.</t>
    </r>
  </si>
  <si>
    <r>
      <t>Załącznik Nr 1a do Uchwały Rady powiatu                   Nr</t>
    </r>
    <r>
      <rPr>
        <b/>
        <sz val="10"/>
        <rFont val="Arial CE"/>
        <family val="0"/>
      </rPr>
      <t xml:space="preserve"> XXXVIII/278/05</t>
    </r>
    <r>
      <rPr>
        <sz val="10"/>
        <rFont val="Arial CE"/>
        <family val="0"/>
      </rPr>
      <t xml:space="preserve"> z dnia 29 grudnia 2005r.</t>
    </r>
  </si>
  <si>
    <r>
      <t xml:space="preserve">Załącznik nr 3 do Uchwały Rady Powiatu                w Olecku Nr </t>
    </r>
    <r>
      <rPr>
        <b/>
        <sz val="10"/>
        <rFont val="Arial CE"/>
        <family val="0"/>
      </rPr>
      <t>XXXVIII/278/05</t>
    </r>
    <r>
      <rPr>
        <sz val="10"/>
        <rFont val="Arial CE"/>
        <family val="0"/>
      </rPr>
      <t xml:space="preserve">                                                     z dn. 29 grudnia 2005r. </t>
    </r>
  </si>
  <si>
    <r>
      <t>Załącznik nr 4 do Uchwały Rady Powiatu w Olecku Nr</t>
    </r>
    <r>
      <rPr>
        <b/>
        <sz val="10"/>
        <rFont val="Arial CE"/>
        <family val="0"/>
      </rPr>
      <t xml:space="preserve"> XXXVIII/278/05</t>
    </r>
    <r>
      <rPr>
        <sz val="10"/>
        <rFont val="Arial CE"/>
        <family val="0"/>
      </rPr>
      <t xml:space="preserve">                               z dn. 29 grudnia 2005r.</t>
    </r>
  </si>
  <si>
    <r>
      <t xml:space="preserve">Załącznik Nr 5 do Uchwały Rady Powiatu Nr </t>
    </r>
    <r>
      <rPr>
        <b/>
        <sz val="8"/>
        <rFont val="Arial CE"/>
        <family val="0"/>
      </rPr>
      <t>XXXVIII/278/05</t>
    </r>
    <r>
      <rPr>
        <sz val="8"/>
        <rFont val="Arial CE"/>
        <family val="2"/>
      </rPr>
      <t xml:space="preserve"> z dnia 29 grudnia 2005r.</t>
    </r>
  </si>
  <si>
    <t>Załącznik nr 6 do Uchwały Rady Powiatu w Olecku Nr XXXVIII/278/05 z dnia 29 grudnia 2005r.</t>
  </si>
  <si>
    <t>Inspekcja Weterynaryjna</t>
  </si>
  <si>
    <t>3020</t>
  </si>
  <si>
    <t>VI.</t>
  </si>
  <si>
    <t xml:space="preserve">  </t>
  </si>
  <si>
    <t>Dotacje dla gmin</t>
  </si>
  <si>
    <t>Zakup usług pozostałych`</t>
  </si>
  <si>
    <t>Dochody przeznaczone na pokrycie wydatków (I-V)</t>
  </si>
  <si>
    <t>VII.</t>
  </si>
  <si>
    <t>Wydatki nie znajdujące pokrycia w planowanych dochodach (II-VI)</t>
  </si>
  <si>
    <t>Na pokrycie wydatków nie znajdujących pokrycia w  planowanych dochodach planuje się przychody (III)</t>
  </si>
  <si>
    <t>Wyd. os.nie zalicz.do wynagr.</t>
  </si>
  <si>
    <t>3030</t>
  </si>
  <si>
    <t>Różne wydatki narzecz os.fiz.</t>
  </si>
  <si>
    <t>4010</t>
  </si>
  <si>
    <t>Wynagrodzenia osobowe pracowników</t>
  </si>
  <si>
    <t>4020</t>
  </si>
  <si>
    <t>Wynagr. osobowe członków korpusu służby cywilnej</t>
  </si>
  <si>
    <t>4040</t>
  </si>
  <si>
    <t>Dodatkowe wynagr.roczne</t>
  </si>
  <si>
    <t xml:space="preserve">4110  </t>
  </si>
  <si>
    <t>Składki na ubez.społecz.</t>
  </si>
  <si>
    <t>4120</t>
  </si>
  <si>
    <t>Składki na F.Pracy</t>
  </si>
  <si>
    <t>4210</t>
  </si>
  <si>
    <t>Zakup materiałów i wyposażenia</t>
  </si>
  <si>
    <t>4260</t>
  </si>
  <si>
    <t>zakup energii</t>
  </si>
  <si>
    <t>4270</t>
  </si>
  <si>
    <t>zakup usług remontowych</t>
  </si>
  <si>
    <t>4300</t>
  </si>
  <si>
    <t>zakup usług pozostałych</t>
  </si>
  <si>
    <t>4410</t>
  </si>
  <si>
    <t>Podróże służbowe krajowe</t>
  </si>
  <si>
    <t>4430</t>
  </si>
  <si>
    <t>Różne opłaty i składki</t>
  </si>
  <si>
    <t>4440</t>
  </si>
  <si>
    <t>Odpis na ZFŚS</t>
  </si>
  <si>
    <t>01005</t>
  </si>
  <si>
    <t>020</t>
  </si>
  <si>
    <t>LEŚNICTWO</t>
  </si>
  <si>
    <t>02002</t>
  </si>
  <si>
    <t>Nadzór nad gospodarką leśną</t>
  </si>
  <si>
    <t>600</t>
  </si>
  <si>
    <t>TRANSPORT I ŁĄCZNOŚĆ</t>
  </si>
  <si>
    <t>60014</t>
  </si>
  <si>
    <t>Drogi publicz.powiatowe</t>
  </si>
  <si>
    <t>4110</t>
  </si>
  <si>
    <t>Składki na ubez.społeczne</t>
  </si>
  <si>
    <t>podatek doch.od osób prawnych</t>
  </si>
  <si>
    <t>nagrody i wyd.nie zal.do wynagr.</t>
  </si>
  <si>
    <t>zakup materiałów i wyposażenia</t>
  </si>
  <si>
    <t>4480</t>
  </si>
  <si>
    <t>Podatek od nieruchomości</t>
  </si>
  <si>
    <t>6050</t>
  </si>
  <si>
    <t>Wyd. inwest.jed.budż.</t>
  </si>
  <si>
    <t>6060</t>
  </si>
  <si>
    <t>6610</t>
  </si>
  <si>
    <t>700</t>
  </si>
  <si>
    <t>GOSPODARKA MIESZKANIOWA ORAZ NIEMAT.USŁUGI KOMUNAL.</t>
  </si>
  <si>
    <t>70005</t>
  </si>
  <si>
    <t>Gospodarka gruntami i nieruchomościami</t>
  </si>
  <si>
    <t>wydatki rzeczowe</t>
  </si>
  <si>
    <t>710</t>
  </si>
  <si>
    <t>DZIAŁALNOŚĆ USŁUGOWA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</si>
  <si>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</si>
  <si>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</si>
  <si>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</si>
  <si>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</si>
  <si>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</si>
  <si>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</si>
  <si>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 xml:space="preserve">4110 </t>
  </si>
  <si>
    <t>750</t>
  </si>
  <si>
    <t>ADMINISTRACJA PUBLICZNA</t>
  </si>
  <si>
    <t>75011</t>
  </si>
  <si>
    <t>Urzędy wojewódzkie</t>
  </si>
  <si>
    <t>Składki na ubezp. Społeczne</t>
  </si>
  <si>
    <t>2310</t>
  </si>
  <si>
    <t>Dotacje przekazane gminie</t>
  </si>
  <si>
    <t>75019</t>
  </si>
  <si>
    <t>Rady powiatów</t>
  </si>
  <si>
    <t>Różne wydatki na rzecz os.fiz.</t>
  </si>
  <si>
    <t>Przewodniczący Rady Powiatu:Wacław Sapieha</t>
  </si>
  <si>
    <t xml:space="preserve">                 Przewodniczący Rady Powiatu: Wacław Sapieha</t>
  </si>
  <si>
    <t>75020</t>
  </si>
  <si>
    <t>Starostwa powiatowe</t>
  </si>
  <si>
    <t>75045</t>
  </si>
  <si>
    <t>Komisje poborowe</t>
  </si>
  <si>
    <t>Składki na ubezp.społeczne</t>
  </si>
  <si>
    <t>75095</t>
  </si>
  <si>
    <t>Pozostała działalność</t>
  </si>
  <si>
    <t>754</t>
  </si>
  <si>
    <t>BEZPIECZEŃSTWO PUBLICZNE I OCHRONA PRZECIWPOŻAROWA</t>
  </si>
  <si>
    <t>75405</t>
  </si>
  <si>
    <t>4500</t>
  </si>
  <si>
    <t>4280</t>
  </si>
  <si>
    <t>Zakup usług zdrowotnych</t>
  </si>
  <si>
    <t>Placówki opiekuńczo-wychowawcze</t>
  </si>
  <si>
    <t>Pozostałe podatki na rzecz j.s.t.</t>
  </si>
  <si>
    <t>80197</t>
  </si>
  <si>
    <t>Gospodarstwa pomocnicze</t>
  </si>
  <si>
    <t>Pozostałe podatki na rzecz jst</t>
  </si>
  <si>
    <t>Komendy Powiatowe Policji</t>
  </si>
  <si>
    <t>Wyn.osobowe korpusu służby cywilnej</t>
  </si>
  <si>
    <t>4050</t>
  </si>
  <si>
    <t xml:space="preserve">Uposaż.żołnierzy zawodowych   i nadterminow. oraz funkcjonar. </t>
  </si>
  <si>
    <t>4060</t>
  </si>
  <si>
    <t>Pozostałe należności funkcjon.</t>
  </si>
  <si>
    <t>4070</t>
  </si>
  <si>
    <t>Nagrody roczne funkcjonariuszy</t>
  </si>
  <si>
    <t>4080</t>
  </si>
  <si>
    <t xml:space="preserve">Uposaż.żołnierzy zawodowych   i nadterminow. oraz funkcjonar. zwolnion. ze służby </t>
  </si>
  <si>
    <t>4220</t>
  </si>
  <si>
    <t>Zakup środków żywności</t>
  </si>
  <si>
    <t>4250</t>
  </si>
  <si>
    <t>Zakup sprzętu i uzbrojenia</t>
  </si>
  <si>
    <t>Zakup energii</t>
  </si>
  <si>
    <t>Zakup usług remontowych</t>
  </si>
  <si>
    <t>Zakup usług pozostałych</t>
  </si>
  <si>
    <t>75411</t>
  </si>
  <si>
    <t>Komendy Powiatowe Państ. Straży Pożarnej</t>
  </si>
  <si>
    <t>Rózne opłaty i składki</t>
  </si>
  <si>
    <t>4520</t>
  </si>
  <si>
    <t>Opłaty na rzecz jst.</t>
  </si>
  <si>
    <t>852</t>
  </si>
  <si>
    <t>Pomoc społeczna</t>
  </si>
  <si>
    <t>85201</t>
  </si>
  <si>
    <t>85202</t>
  </si>
  <si>
    <t>85218</t>
  </si>
  <si>
    <t>Pozostałe zadania w zakresie polityki społecznej</t>
  </si>
  <si>
    <t>85295</t>
  </si>
  <si>
    <t>POMOC SPOŁECZNA</t>
  </si>
  <si>
    <t>85204</t>
  </si>
  <si>
    <t>757</t>
  </si>
  <si>
    <t>75702</t>
  </si>
  <si>
    <t>Obsługa papierów wart., kredytów i pożyczek j.s.t.</t>
  </si>
  <si>
    <t>8070</t>
  </si>
  <si>
    <t>75704</t>
  </si>
  <si>
    <t>8020</t>
  </si>
  <si>
    <t>758</t>
  </si>
  <si>
    <t>RÓŻNE ROZLICZENIA</t>
  </si>
  <si>
    <t>75818</t>
  </si>
  <si>
    <t>Rezerwy ogólne i celowe</t>
  </si>
  <si>
    <t>4810</t>
  </si>
  <si>
    <t>Rezerwa ogólna</t>
  </si>
  <si>
    <t>Rezerwa celowa oświatowa</t>
  </si>
  <si>
    <t>801</t>
  </si>
  <si>
    <t>OŚWIATA I WYCHOWANIE</t>
  </si>
  <si>
    <t>80102</t>
  </si>
  <si>
    <t>Szkoły podstawowe specjalne</t>
  </si>
  <si>
    <t>§ 9950</t>
  </si>
  <si>
    <t>Z dochodów przeznacza się na spłatę kredytów i pożyczek (IV)</t>
  </si>
  <si>
    <t>Zakup mater. i wyposażenia</t>
  </si>
  <si>
    <t>4240</t>
  </si>
  <si>
    <t>zakup pomocy dydakt.i książek</t>
  </si>
  <si>
    <t>Wydatki rzeczowe</t>
  </si>
  <si>
    <t>2540</t>
  </si>
  <si>
    <t>Dot.podmiot z budż. dla szkół niepub. (Niep.Spec.Ośr.Szk.-Wych. Przy Stow. "Dać Nadzieję")</t>
  </si>
  <si>
    <t>80111</t>
  </si>
  <si>
    <t>Urząd Marszałkowski</t>
  </si>
  <si>
    <t>Gimnazja specjalne</t>
  </si>
  <si>
    <t>zakup materiałów i wyposaż.</t>
  </si>
  <si>
    <t>80120</t>
  </si>
  <si>
    <t>Licea Ogólnokształcące</t>
  </si>
  <si>
    <t>Nagr.i wyd.nie zal.do wynagr.</t>
  </si>
  <si>
    <t>4140</t>
  </si>
  <si>
    <t>wpłaty na PFRON</t>
  </si>
  <si>
    <t xml:space="preserve">dot. podmiot. z budż. dla szkół niepublicznych:  </t>
  </si>
  <si>
    <t>ZDZ Białystok</t>
  </si>
  <si>
    <t>L.Olszewski Olecko</t>
  </si>
  <si>
    <t>Cent.eduk.Rozw.Zaw.Olecko</t>
  </si>
  <si>
    <t>wydatki inwest. jednost. budżet.</t>
  </si>
  <si>
    <t>80130</t>
  </si>
  <si>
    <t>Szkoły zawodowe</t>
  </si>
  <si>
    <t>Nagr.i wydat.nie zalicz.do wynagr.</t>
  </si>
  <si>
    <t>Składki PFRON</t>
  </si>
  <si>
    <t xml:space="preserve">Dot.podmiot z budż. dla szkół niepub.  </t>
  </si>
  <si>
    <t>80131</t>
  </si>
  <si>
    <t>Licea i technika zawodowe</t>
  </si>
  <si>
    <t>zakup pom.dydakt.i książek</t>
  </si>
  <si>
    <t>podróże służbowe krajowe</t>
  </si>
  <si>
    <t>2110</t>
  </si>
  <si>
    <t>różne opłaty i składki</t>
  </si>
  <si>
    <t>odpisy na ZFŚS</t>
  </si>
  <si>
    <t xml:space="preserve">dot. podmiot. z budż. dla szkół niepublicznych   </t>
  </si>
  <si>
    <t>6430</t>
  </si>
  <si>
    <t>Dot.cel.przek.z budż.pań.na real.inwest.i zak.inwest.włas.powiatu</t>
  </si>
  <si>
    <t>80133</t>
  </si>
  <si>
    <t>Szkoły pomaturalne i policealne</t>
  </si>
  <si>
    <t xml:space="preserve">Dot. podmiot. z budż. dla szkół niepublicznych, w tym:  </t>
  </si>
  <si>
    <t>Centr.Szkol."Omega"</t>
  </si>
  <si>
    <t>80134</t>
  </si>
  <si>
    <t>Szkoły zawodowe specjalne</t>
  </si>
  <si>
    <t>80142</t>
  </si>
  <si>
    <t>Ośrodki szkolenia, dokształcania i doskonalenia kadr</t>
  </si>
  <si>
    <t>2320</t>
  </si>
  <si>
    <t>Spłaty pożyczek (WFOŚiGW)</t>
  </si>
  <si>
    <t>80145</t>
  </si>
  <si>
    <t>Obrona cywilna</t>
  </si>
  <si>
    <t xml:space="preserve">kredyty bankowe i pożyczki </t>
  </si>
  <si>
    <t>Komisje egzaminacyjne</t>
  </si>
  <si>
    <t>Różne wyd. na rzecz osób fiz.</t>
  </si>
  <si>
    <t>80146</t>
  </si>
  <si>
    <t>Placówki dokształcania i doskonalenia nauczycieli</t>
  </si>
  <si>
    <t>80195</t>
  </si>
  <si>
    <t>851</t>
  </si>
  <si>
    <t>OCHRONA ZDROWIA</t>
  </si>
  <si>
    <t>85111</t>
  </si>
  <si>
    <t>Szpitale ogólne</t>
  </si>
  <si>
    <t>2560</t>
  </si>
  <si>
    <t>dotacja podmiot. z budż. dla         SP ZOZ</t>
  </si>
  <si>
    <t>85121</t>
  </si>
  <si>
    <t>Lecznictwo ambulatoryjne</t>
  </si>
  <si>
    <t>85132</t>
  </si>
  <si>
    <t>Inspekcja Sanitarna</t>
  </si>
  <si>
    <t>Nagr.i wydat.nie zal.do wynagr.</t>
  </si>
  <si>
    <t>rózne wydatki na rzecz os.fiz.</t>
  </si>
  <si>
    <t>85141</t>
  </si>
  <si>
    <t>Ratownictwo medyczne</t>
  </si>
  <si>
    <t>85156</t>
  </si>
  <si>
    <t>4130</t>
  </si>
  <si>
    <t>Składki na ubezp.zdrow.</t>
  </si>
  <si>
    <t>4600</t>
  </si>
  <si>
    <t>kary i odszkodowania wypł.na rzecz os.pr.i innych jedn.org.</t>
  </si>
  <si>
    <t>853</t>
  </si>
  <si>
    <t>Plac. opiekuń - wychowaw.</t>
  </si>
  <si>
    <t>3110</t>
  </si>
  <si>
    <t>Świadczenia społeczne</t>
  </si>
  <si>
    <t>zakup środków żywności</t>
  </si>
  <si>
    <t>zakup pom.nauk.dydakt.książek</t>
  </si>
  <si>
    <t>Domy Pomocy Społecznej</t>
  </si>
  <si>
    <t>Nagr.i wydatki nie zal.do wynagrodzeń</t>
  </si>
  <si>
    <t>4230</t>
  </si>
  <si>
    <t>zakup leków i mater.medycz.</t>
  </si>
  <si>
    <t xml:space="preserve">Rodziny zastępcze </t>
  </si>
  <si>
    <t>85318</t>
  </si>
  <si>
    <t>Powiatowe Centrum Pomocy Rodzinie</t>
  </si>
  <si>
    <t>85324</t>
  </si>
  <si>
    <t>Składki na ubezp. społeczne</t>
  </si>
  <si>
    <t>"Przebudowa drogi powiatowej nr 40454Olecko-Świętajno-Dunajek km 7+350 do km 13+000 dł. 5,65 km" w ramach ZPORR (lata 2005-2007)**</t>
  </si>
  <si>
    <t>"Budowa drogi powiatowej nr 40491 Krupin-Wojnasy, etap I przez wieś Markowskie długości 951 m" w ramach ZPORR (lata: 2005-2006) *</t>
  </si>
  <si>
    <t>Remont chodnika na ul Sembrzyckiego z jednej strony od ulicy Armii Krajowej</t>
  </si>
  <si>
    <t xml:space="preserve"> Plan 2006 r</t>
  </si>
  <si>
    <t>Składki na Fundusz Pracy</t>
  </si>
  <si>
    <t>85333</t>
  </si>
  <si>
    <t>Powiatowe Urzędy Pracy</t>
  </si>
  <si>
    <t>2820</t>
  </si>
  <si>
    <t>854</t>
  </si>
  <si>
    <t>EDUKACYJNA OPIEKA WYCHOWAWCZA</t>
  </si>
  <si>
    <t>85403</t>
  </si>
  <si>
    <t>Specjalne ośrodki szkolno - wychowawcze</t>
  </si>
  <si>
    <t>4590</t>
  </si>
  <si>
    <t>85406</t>
  </si>
  <si>
    <t>Poradnie Psychol- Pedagog.</t>
  </si>
  <si>
    <t>85410</t>
  </si>
  <si>
    <t>Internaty i bursy szkolne</t>
  </si>
  <si>
    <t>Wyd.na zakupy inwest. jed.budż</t>
  </si>
  <si>
    <t>85412</t>
  </si>
  <si>
    <t>Kolonie i obozy oraz inne formy wypoczynu dzieci i młodzieży  szkolnej</t>
  </si>
  <si>
    <t>85415</t>
  </si>
  <si>
    <t>Pomoc material. dla uczniów</t>
  </si>
  <si>
    <t>85417</t>
  </si>
  <si>
    <t>Szkolne schroniska młodz.</t>
  </si>
  <si>
    <t>dot. cel. przek.  na zad. bież real. na podst.por.między j.s.t.</t>
  </si>
  <si>
    <t xml:space="preserve">Składki na ubez.społ. </t>
  </si>
  <si>
    <t>różne wydatki na rzecz os.fiz.</t>
  </si>
  <si>
    <t>85495</t>
  </si>
  <si>
    <t>921</t>
  </si>
  <si>
    <t>KULTURA I OCHRONA DZIEDZICTWA NAROD.</t>
  </si>
  <si>
    <t>92116</t>
  </si>
  <si>
    <t>Biblioteki</t>
  </si>
  <si>
    <t>dot. cel. przek. gminie na zad. bież real. na podst.poroz.j.s.t.</t>
  </si>
  <si>
    <t>92195</t>
  </si>
  <si>
    <t>926</t>
  </si>
  <si>
    <t>KULTURA FIZYCZNA I SPORT</t>
  </si>
  <si>
    <t>92601</t>
  </si>
  <si>
    <t>Obiekty sportowe</t>
  </si>
  <si>
    <t>Wydatki inwest.jednost. budżet</t>
  </si>
  <si>
    <t>92695</t>
  </si>
  <si>
    <t>Ogółem</t>
  </si>
  <si>
    <t>z tego:</t>
  </si>
  <si>
    <t>X</t>
  </si>
  <si>
    <t>a) wydatki bieżące, w tym:</t>
  </si>
  <si>
    <t xml:space="preserve">    wynagrodzenia</t>
  </si>
  <si>
    <t xml:space="preserve">    pochodne od wynagrodzeń</t>
  </si>
  <si>
    <t>0870</t>
  </si>
  <si>
    <t>wpływy ze sprzedaży skł.majątk.</t>
  </si>
  <si>
    <t>dochody z najmu i dzierżawy skł.majątk.</t>
  </si>
  <si>
    <t>Kary i odszkod.wypłac.osobom fiz.</t>
  </si>
  <si>
    <t>6058</t>
  </si>
  <si>
    <t>75075</t>
  </si>
  <si>
    <t>Promocja jednostek samorządu terytorialnego</t>
  </si>
  <si>
    <t>Dotacje celowe przekazane gminie</t>
  </si>
  <si>
    <t xml:space="preserve">Wynagrodzenia osobowe </t>
  </si>
  <si>
    <t>803</t>
  </si>
  <si>
    <t>80309</t>
  </si>
  <si>
    <t>Pomoc materialna dla studentów</t>
  </si>
  <si>
    <t>3218</t>
  </si>
  <si>
    <t>Stypendia i zasiłki dla studentów</t>
  </si>
  <si>
    <t>3219</t>
  </si>
  <si>
    <t>4178</t>
  </si>
  <si>
    <t>4179</t>
  </si>
  <si>
    <t>4218</t>
  </si>
  <si>
    <t>4308</t>
  </si>
  <si>
    <t>4309</t>
  </si>
  <si>
    <t>4219</t>
  </si>
  <si>
    <t>85154</t>
  </si>
  <si>
    <t xml:space="preserve">Przeciwdziałanie alkoholizmowi </t>
  </si>
  <si>
    <t>Zakup usług internetowych</t>
  </si>
  <si>
    <t>85220</t>
  </si>
  <si>
    <t>Jednostki specjalistycznego poradnictwa, mieszkania chronione i ośrodki interwencji kryzysowej</t>
  </si>
  <si>
    <t>Odpis na ZFŚS naucz.emerytów</t>
  </si>
  <si>
    <t>Nagr.i wyd.nie zal.do wynagrodzeń</t>
  </si>
  <si>
    <t>6051</t>
  </si>
  <si>
    <t>Stypendia  dla uczniów</t>
  </si>
  <si>
    <t>3248</t>
  </si>
  <si>
    <t>3249</t>
  </si>
  <si>
    <t>Dotacje celowe z budżetu na dofinans.zadań zleconych do realiz.stowarzyszeniom</t>
  </si>
  <si>
    <t>Rozliczenie z tyt.poręczeń i gwarancji udzielonych przez Skarb Państwa lub jednostki samorządu terytorialnego</t>
  </si>
  <si>
    <t>wpływy od rodziców z tyt. odpłatności za utrzymanie dzieci</t>
  </si>
  <si>
    <t>0680</t>
  </si>
  <si>
    <t>wpływy od rodziców z tyt.odpłatności z utrzym.dzieci</t>
  </si>
  <si>
    <t>Udzielone przez powiat poręczenia                                   i gwarancje (niewymagalne)</t>
  </si>
  <si>
    <t xml:space="preserve">    na obsł. długu j.s.t., poręcz. i gwar.</t>
  </si>
  <si>
    <t>b) wydatki majątkowe, w tym:</t>
  </si>
  <si>
    <t>Klasyfikacja</t>
  </si>
  <si>
    <t>Nazwa</t>
  </si>
  <si>
    <t>Dochody przyznane z tyt. dotacji na realizację zadań z zakresu adm. rządowej</t>
  </si>
  <si>
    <t>Wydatki</t>
  </si>
  <si>
    <t xml:space="preserve">Dochody do przekazania do budżetu państwa                            </t>
  </si>
  <si>
    <t>Dział</t>
  </si>
  <si>
    <t>Rozdział</t>
  </si>
  <si>
    <t>I</t>
  </si>
  <si>
    <t>DOCHODY SKARBU PAŃSTWA</t>
  </si>
  <si>
    <t>Inspekcja sanitarna</t>
  </si>
  <si>
    <t>II</t>
  </si>
  <si>
    <t>DOCHODY I WYDATKI ZWIĄZANE Z REALIZACJĄ ZADAŃ ZLECONYCH</t>
  </si>
  <si>
    <t>211</t>
  </si>
  <si>
    <t>Prace geodezyjno - urządzeniowe na potrzeby rolnictwa</t>
  </si>
  <si>
    <t>Struktura procentowa</t>
  </si>
  <si>
    <t>I. Udziały we wpływach z podatków stanowiących dochody państwa (PIT i CIT)</t>
  </si>
  <si>
    <t>II. Dochody z majątku powiatu</t>
  </si>
  <si>
    <t xml:space="preserve">    1. Ze sprzedaży</t>
  </si>
  <si>
    <t xml:space="preserve">    2. Z dzierżawy</t>
  </si>
  <si>
    <t>III. Wpłaty od jednostek organizacyjnych powiatu</t>
  </si>
  <si>
    <t>IV. Pozostałe dochody</t>
  </si>
  <si>
    <t>A. Ogółem dochody własne (I+II+III+IV)</t>
  </si>
  <si>
    <t>V. Subwencja ogólna</t>
  </si>
  <si>
    <t xml:space="preserve">VI. Ogółem dotacje </t>
  </si>
  <si>
    <t>Koszty postępow.sąd.i prokurat.</t>
  </si>
  <si>
    <t>85233</t>
  </si>
  <si>
    <t>Dokształcanie i doskonalenie nauczycieli</t>
  </si>
  <si>
    <t>Przedszkola specjalne</t>
  </si>
  <si>
    <t>80105</t>
  </si>
  <si>
    <t>Dot.podmiot z budż. dla szkół niepub. (Centr.Ed. Spec.w Olecku)</t>
  </si>
  <si>
    <t>Dot.podmiot z budż. dla szkół niepub. (Cent. Eduk. Specj.w Olecku)</t>
  </si>
  <si>
    <t>- z funduszy celowych (§ 6260 i 2440)</t>
  </si>
  <si>
    <t>Środki otrzymane od pozostałych jedn. sektora f.p.</t>
  </si>
  <si>
    <t>subwencja uzupełniająca części wyrównwczej subwencji ogólnej</t>
  </si>
  <si>
    <t>B. Ogółem subwencje i dotacje (V i VI)</t>
  </si>
  <si>
    <t>DOCHODY OGÓŁEM ( A+B )</t>
  </si>
  <si>
    <t>Inspekcja weterynaryjna</t>
  </si>
  <si>
    <t>Dodatkowe wynagr. roczne</t>
  </si>
  <si>
    <t xml:space="preserve">Składki na ubezp. społeczne </t>
  </si>
  <si>
    <t>L.p.</t>
  </si>
  <si>
    <t>A.</t>
  </si>
  <si>
    <t>Dochody własne, w tym:</t>
  </si>
  <si>
    <t>dochody z majątku</t>
  </si>
  <si>
    <t>wpłaty od jednostek org.</t>
  </si>
  <si>
    <t>pozostałe dochody</t>
  </si>
  <si>
    <t>B.</t>
  </si>
  <si>
    <t>Subwencje</t>
  </si>
  <si>
    <t>C.</t>
  </si>
  <si>
    <t>Dotacje</t>
  </si>
  <si>
    <t>Wydatki ogółem</t>
  </si>
  <si>
    <t>Spłaty pożyczek i kredytów (A+B)</t>
  </si>
  <si>
    <t>Spłata zaciągniętych pożyczek i kredytów</t>
  </si>
  <si>
    <t>w tym: spłata rat</t>
  </si>
  <si>
    <t>odsetki</t>
  </si>
  <si>
    <t>Wykup papier. wart. i dyskonto weksli</t>
  </si>
  <si>
    <t>Wynik (I-II)</t>
  </si>
  <si>
    <t>Planowana łączna kwota długu</t>
  </si>
  <si>
    <t>Różne wydatki na rzecz osób fiz.</t>
  </si>
  <si>
    <t>Nagrody i wydat. nie zal.do wyn.</t>
  </si>
  <si>
    <t>Dodatkowe wynagrodzenie roczne</t>
  </si>
  <si>
    <t>Uposaż. żołnierzy zawod. i nadtermin. oraz funkcjonar.</t>
  </si>
  <si>
    <t>Pozostałe należn. funkcjonar.</t>
  </si>
  <si>
    <t xml:space="preserve">Składki na ubezp.społeczne </t>
  </si>
  <si>
    <t>Zakup środkó żywności</t>
  </si>
  <si>
    <t>Komendy Powiatowe Państwowej Straży Pożarnej</t>
  </si>
  <si>
    <t>Wynagr.osobow.korpusu służby cywilnej</t>
  </si>
  <si>
    <t>Uposaż.żołnierzy zawod. i nadtermin.oraz funkcjon. zwol. ze służby</t>
  </si>
  <si>
    <t>Opłaty na rzecz jst</t>
  </si>
  <si>
    <t>Wydatki inwest.jedn.budżet.</t>
  </si>
  <si>
    <t>Składki na ubezp.zdr.os.nie obj.obow.ubezp.</t>
  </si>
  <si>
    <t>Składki na ubezp.zdrowotne</t>
  </si>
  <si>
    <t>RAZEM:</t>
  </si>
  <si>
    <t>Dochody</t>
  </si>
  <si>
    <t>Placówki opiekuńczo - wychowawcze</t>
  </si>
  <si>
    <t>Rodziny zastępcze</t>
  </si>
  <si>
    <t>w tym:</t>
  </si>
  <si>
    <t>Placówki dokształc.i doskon.naucz.</t>
  </si>
  <si>
    <t>Szkolne Schroniska Młodzieżowe</t>
  </si>
  <si>
    <t>- Gmina Dubeninki</t>
  </si>
  <si>
    <t>- Gmina Świętajno</t>
  </si>
  <si>
    <t>- Gmina Kowale Oleckie</t>
  </si>
  <si>
    <t>Kultura i ochrona dziedzictwa narodowego</t>
  </si>
  <si>
    <t>Źródła sfinansowania deficytu lub rozdysponowania nadwyżki budżetowej</t>
  </si>
  <si>
    <t>Lp.</t>
  </si>
  <si>
    <t>Treść</t>
  </si>
  <si>
    <t>Klasyfikacja przychodów i rozchodów</t>
  </si>
  <si>
    <t>Plan 2002</t>
  </si>
  <si>
    <t>I.</t>
  </si>
  <si>
    <t>Planowane dochody</t>
  </si>
  <si>
    <t>II.</t>
  </si>
  <si>
    <t>Planowane wydatki</t>
  </si>
  <si>
    <t>Nadwyżka/deficyt I - II</t>
  </si>
  <si>
    <t>Finansowanie  III - IV</t>
  </si>
  <si>
    <t>III.</t>
  </si>
  <si>
    <t>Przychody ogółem:</t>
  </si>
  <si>
    <t>1.</t>
  </si>
  <si>
    <t>2.</t>
  </si>
  <si>
    <t>Pożyczki (uzyskane)</t>
  </si>
  <si>
    <t>3.</t>
  </si>
  <si>
    <t>Spłaty pożyczek udzielonych</t>
  </si>
  <si>
    <t>4.</t>
  </si>
  <si>
    <t>Prywatyzacja majątku j.s.t.</t>
  </si>
  <si>
    <t>5.</t>
  </si>
  <si>
    <t>0570</t>
  </si>
  <si>
    <t>grzywny, mandaty i inne kary pieniężne od ludności</t>
  </si>
  <si>
    <t>Plan 2006</t>
  </si>
  <si>
    <t>wpłaty z  zysku jednoosobowych spółek samorządu tertytorailnego</t>
  </si>
  <si>
    <t>0730</t>
  </si>
  <si>
    <t>Pow.Centra Pomocy Rodzinie</t>
  </si>
  <si>
    <t>6298</t>
  </si>
  <si>
    <t>środki na dofin.własnych inwest. pozyskane z innych źródeł</t>
  </si>
  <si>
    <t>dot.cel.otrzymane z samorz.woj..na zak.inwest.na podst.umów</t>
  </si>
  <si>
    <t>Szkolnictwo wyższe</t>
  </si>
  <si>
    <t>dotacja na dofinansowanie kosztów realizacji zakupów inwestycyjnych jednostek sektora finansów publicznych</t>
  </si>
  <si>
    <t>datacje na realizację zadań bieżących jednostek sektora  finansów publicznych</t>
  </si>
  <si>
    <t>subwencje ogólne z udżetu państwa</t>
  </si>
  <si>
    <t>subwencje ogólne z budżetu państwa</t>
  </si>
  <si>
    <t>subwencja ogólna z budżetu państwa</t>
  </si>
  <si>
    <t>Nadwyżka budżetu z lat ubiegłych</t>
  </si>
  <si>
    <t>Sprzedaż papierów wartościowych</t>
  </si>
  <si>
    <t>8.</t>
  </si>
  <si>
    <t xml:space="preserve">Inne rozliczenia (wolne środki z tyt.rozl.kred.) </t>
  </si>
  <si>
    <t>IV.</t>
  </si>
  <si>
    <t>Rozchody ogółem:</t>
  </si>
  <si>
    <t>Spłata kredytu</t>
  </si>
  <si>
    <t>Pożyczki udzielone</t>
  </si>
  <si>
    <t>Lokaty w bankach</t>
  </si>
  <si>
    <t>Wykup papierów wartościowych</t>
  </si>
  <si>
    <t>Rozchody z tytułu innych rozliczeń</t>
  </si>
  <si>
    <t>V.</t>
  </si>
  <si>
    <t>Rodzaj zadłużenia</t>
  </si>
  <si>
    <t>a) ustaw,</t>
  </si>
  <si>
    <t>b) orzeczeń sądu,</t>
  </si>
  <si>
    <t>c) udzielonych poręczeń i gwarancji</t>
  </si>
  <si>
    <t>d) innych tytułów</t>
  </si>
  <si>
    <t>6.</t>
  </si>
  <si>
    <t>Łączna kwota długu na koniec roku budż.</t>
  </si>
  <si>
    <t>7.</t>
  </si>
  <si>
    <t>Dochody ogółem</t>
  </si>
  <si>
    <t>6052</t>
  </si>
  <si>
    <t>Usługi internetowe</t>
  </si>
  <si>
    <t>wynagrodzenia bezosobowe</t>
  </si>
  <si>
    <t>3070</t>
  </si>
  <si>
    <t>Wydatki osob.nie zal.do wynagr.</t>
  </si>
  <si>
    <t>4180</t>
  </si>
  <si>
    <t>Równoważniki i ekwiwalenty</t>
  </si>
  <si>
    <t>75414</t>
  </si>
  <si>
    <t>Dotacje celowe przekazane dla powiatu na zadania bieżące</t>
  </si>
  <si>
    <t>Koszty post.sądowego i prok.</t>
  </si>
  <si>
    <t>Opłaty na rzecz j.s.t.</t>
  </si>
  <si>
    <t>75018</t>
  </si>
  <si>
    <t>2330</t>
  </si>
  <si>
    <t>Dotacje celowe przekazane do samorządu województwa</t>
  </si>
  <si>
    <t>4307</t>
  </si>
  <si>
    <t>6059</t>
  </si>
  <si>
    <t>Koszty postępow. sądow. i prok.</t>
  </si>
  <si>
    <t>Wyn.osob. korpusu sł.cywilnej</t>
  </si>
  <si>
    <t>PLAN WYDATKÓW BUDŻETU POWIATU NA ROK 2006</t>
  </si>
  <si>
    <t>PLAN DOCHODÓW BUDŻETU POWIATU NA ROK 2006</t>
  </si>
  <si>
    <t>PLAN DOCHODÓW BUDŻETU POWIATU NA 2006 ROK</t>
  </si>
  <si>
    <t>dotacje cel. przek. gminie na zad. bieżące</t>
  </si>
  <si>
    <t xml:space="preserve">Przewodniczący Rady Powiatu </t>
  </si>
  <si>
    <t>Dotacje dla niepublicznych przedszkoli, szkół i placówek oświatowo - wychowawczych w roku 2006</t>
  </si>
  <si>
    <t>Wykaz zadań własnych powiatu zlecanych do realizacji podmiotom nie zaliczanym do sektora finansó publicznych i nie działających w celu osiągnięcia zysku w roku 2006</t>
  </si>
  <si>
    <t>Dotacje celowe przek.gminie</t>
  </si>
  <si>
    <t>Dotacje celowe przek.powiatowi</t>
  </si>
  <si>
    <t>wydatki inwestycyjne (§§ 6050,6052,6059,6060)</t>
  </si>
  <si>
    <t>Dot. cel.przekazane powiatowi</t>
  </si>
  <si>
    <t>Stypendia różne</t>
  </si>
  <si>
    <t>Procentowy (%) udział długu w dochodach</t>
  </si>
  <si>
    <t>Wydatki na programy i projekty ze środków funduszy strukturalnych i Funduszu Spójności(art.. 124 ust.1 pkt.4a ustawy o finansach publicznych)</t>
  </si>
  <si>
    <t>Projekt</t>
  </si>
  <si>
    <t>Kategoria (dział, rozdział)</t>
  </si>
  <si>
    <t>Wydatki w okresie realizacji Projektu (całkowita wartość projektu) (6+7)</t>
  </si>
  <si>
    <t>Planowane wydatki:</t>
  </si>
  <si>
    <t>Srodki z budżetu krajowego</t>
  </si>
  <si>
    <t>Środki z budżetu UE</t>
  </si>
  <si>
    <t>2006 rok</t>
  </si>
  <si>
    <t>Wydatki razem (8+12)</t>
  </si>
  <si>
    <t xml:space="preserve">                                                                   z tego:</t>
  </si>
  <si>
    <t>Środki z budżetu krajowego:</t>
  </si>
  <si>
    <t>Wydatki razem (9+10+11)</t>
  </si>
  <si>
    <t>z tego, źródła finansowania:</t>
  </si>
  <si>
    <t>Wydatki razem (13+14+15+16)</t>
  </si>
  <si>
    <t>pożyczki i kredyty</t>
  </si>
  <si>
    <t>obligacje</t>
  </si>
  <si>
    <t>pozostałe</t>
  </si>
  <si>
    <t>pożyczki na prefinansowanie z budżetu państwa</t>
  </si>
  <si>
    <t>1.1</t>
  </si>
  <si>
    <t xml:space="preserve">Program:ZPORR 2004-2006 "Budowa drogi powiatowej nr 40499 Krupin - Wojnasy, etap I przez wieś Markowskie długości 951 m"  </t>
  </si>
  <si>
    <t>Priorytet  3 - Rozwój lokalny</t>
  </si>
  <si>
    <t xml:space="preserve">Działanie 3.1 Obszary wiejskie </t>
  </si>
  <si>
    <t>Razem wydatki:</t>
  </si>
  <si>
    <t>600, 60014</t>
  </si>
  <si>
    <t>z tego: 2005 r</t>
  </si>
  <si>
    <t>2006 r.</t>
  </si>
  <si>
    <t>2007 r.</t>
  </si>
  <si>
    <t>2008 r.</t>
  </si>
  <si>
    <t>1.2</t>
  </si>
  <si>
    <t>Program: ZPORR 2004-2006 "Przebudowa drogi powiatowej nr 40454 Olecko - Świętajno - Dunajek km 7+350 - km 13+000"</t>
  </si>
  <si>
    <t>Priorytet 3 - Rozwój lokalny</t>
  </si>
  <si>
    <t>Działanie 3.5.2 Lokalna infrastruktura ochrony zdrowia</t>
  </si>
  <si>
    <t xml:space="preserve">Ogółem rok 2006 </t>
  </si>
  <si>
    <t xml:space="preserve">Ogółem lata 2005-2008 </t>
  </si>
  <si>
    <t>Pozostałe wydatki majątkowe na 2006 rok</t>
  </si>
  <si>
    <t>w złotych</t>
  </si>
  <si>
    <t>L.p</t>
  </si>
  <si>
    <t xml:space="preserve">Treść </t>
  </si>
  <si>
    <t>Przewidywane wykonanie w 2005 roku</t>
  </si>
  <si>
    <t>Plan na 2006 rok</t>
  </si>
  <si>
    <t>Dotacja na "Wrota Warmii i Mazur - elektroniczna platforma funkcjonowania administracji publicznej oraz świadczenia usług publicznych"</t>
  </si>
  <si>
    <t>42.000</t>
  </si>
  <si>
    <t>Prognoza kwoty długu powiatu na lata 2005 - 2015</t>
  </si>
  <si>
    <t>Przewidywane wykonanie na 31.12.2005</t>
  </si>
  <si>
    <t xml:space="preserve">Kredyty zaciągnięte w latach poprzednich                                                                </t>
  </si>
  <si>
    <t>Pożyczki krajowe (z WFOŚiGW)</t>
  </si>
  <si>
    <t>Kredyty zaciągnięte w roku budżetowym</t>
  </si>
  <si>
    <t>Pożyczki z BP zaciągnięte  na prefinansowanie(zadłużenie na 31.12)</t>
  </si>
  <si>
    <t>Kredyty inwestycyjne na realicację zadań w ramach programów ZPORR</t>
  </si>
  <si>
    <t>Wymagalne zobowiązania, wynikające z następujących tytułów:</t>
  </si>
  <si>
    <t xml:space="preserve">Spłata kredytów zaciągniętych w latach poprzednich </t>
  </si>
  <si>
    <t xml:space="preserve">Spłata kredytów zaciągniętych w  roku budżetowym </t>
  </si>
  <si>
    <t xml:space="preserve">Spłata kredytów zaciągniętych na zadania w ramach programów ZPORR </t>
  </si>
  <si>
    <t>Suma spłaconych kredytów i pożyczek</t>
  </si>
  <si>
    <t>Dług zaciągnięty w związku ze środkami określonymi w umowie zawartej z podmiotem dysponującym funduszami strukturalnymi lub F.S.U.E.</t>
  </si>
  <si>
    <t xml:space="preserve">Przewodniczący Rady Powiatu: Wacław Sapieha     </t>
  </si>
  <si>
    <r>
      <t>Spłata pożyczek zaciągniętych na prefinansowanie wydatków</t>
    </r>
    <r>
      <rPr>
        <b/>
        <sz val="8"/>
        <rFont val="Arial CE"/>
        <family val="2"/>
      </rPr>
      <t>*</t>
    </r>
  </si>
  <si>
    <t xml:space="preserve">                                          Inne dotacje udzielone w roku 2006</t>
  </si>
  <si>
    <t>(w złotych)</t>
  </si>
  <si>
    <t>SP ZOZ w Olecku "w likwidacji"</t>
  </si>
  <si>
    <t xml:space="preserve">250.000 </t>
  </si>
  <si>
    <t>OGÓŁEM KWOTA DOTACJI</t>
  </si>
  <si>
    <t>250.000</t>
  </si>
  <si>
    <t>Prace geodezyjno-urządz. na potrzeby rolnictwa</t>
  </si>
  <si>
    <t>Zespół Szkół Technicznych w Olecku</t>
  </si>
  <si>
    <t>10.</t>
  </si>
  <si>
    <t>Powiatowy Zarząd Dróg w Olecku</t>
  </si>
  <si>
    <t>12.</t>
  </si>
  <si>
    <t>Nazwa zadania inwestycyjnego i okres realizacji (w latach)</t>
  </si>
  <si>
    <t>Planowane nakłady</t>
  </si>
  <si>
    <t>Jednostki organizac. realiz. zadanie lub koordynuj. program</t>
  </si>
  <si>
    <t>w tym źródła finansowania</t>
  </si>
  <si>
    <t>środki własne</t>
  </si>
  <si>
    <t>kredyty i pożyczki</t>
  </si>
  <si>
    <t>Modernizacja drogi powiatowej nr 40454 Olecko-Świętajno (lata: 2001 - 2002)</t>
  </si>
  <si>
    <t>Starostwo Powiatowe w Olecku</t>
  </si>
  <si>
    <t>OGÓŁEM</t>
  </si>
  <si>
    <t>Przewodniczący Rady Powiatu: Juliusz Uss</t>
  </si>
  <si>
    <t>9.</t>
  </si>
  <si>
    <t>Przewidywa-ne wykon. w 2000</t>
  </si>
  <si>
    <t>Wzrost w %   7:6</t>
  </si>
  <si>
    <t>strukt. procentowa</t>
  </si>
  <si>
    <t>zwiększenia (+)</t>
  </si>
  <si>
    <t>zmniejszenia (-)</t>
  </si>
  <si>
    <t>p.w. 2000</t>
  </si>
  <si>
    <t>Nazwa działu, rozdziału</t>
  </si>
  <si>
    <t>Dz.</t>
  </si>
  <si>
    <t>Rolnictwo i łowiectwo</t>
  </si>
  <si>
    <t>a)</t>
  </si>
  <si>
    <t xml:space="preserve">Program: ZPORR 2004-2006 "Przebudowa i modernizacja Szpitala powiatowego w Olecku" </t>
  </si>
  <si>
    <t>Opieka społeczna*</t>
  </si>
  <si>
    <t>85301</t>
  </si>
  <si>
    <t>85302</t>
  </si>
  <si>
    <t>85304</t>
  </si>
  <si>
    <t>6292</t>
  </si>
  <si>
    <t xml:space="preserve">Urzędy wojewódzkie                                 </t>
  </si>
  <si>
    <t>pozostałe odsetki</t>
  </si>
  <si>
    <t>092</t>
  </si>
  <si>
    <t>b)</t>
  </si>
  <si>
    <t>01095</t>
  </si>
  <si>
    <t>wpływy z różnych opłat</t>
  </si>
  <si>
    <t>069</t>
  </si>
  <si>
    <t>Transport i Łączność</t>
  </si>
  <si>
    <t>drogi publiczne powiatowe</t>
  </si>
  <si>
    <t>dochody z najmu i dzierżawy składników majątkowych</t>
  </si>
  <si>
    <t>075</t>
  </si>
  <si>
    <t>wpływy z usług</t>
  </si>
  <si>
    <t>083</t>
  </si>
  <si>
    <t>Wpływy z różnych odochodów</t>
  </si>
  <si>
    <t>097</t>
  </si>
  <si>
    <t>Gospodarka mieszkaniowa oraz niemat.usł.komun.</t>
  </si>
  <si>
    <t>Gospodarka gruntami i nieruchomościami.</t>
  </si>
  <si>
    <t>wpływy ze sprzedaży wyrobów skł.majątk.</t>
  </si>
  <si>
    <t>084</t>
  </si>
  <si>
    <t>Rezerwa celowa na ubezpieczenia majątkowe</t>
  </si>
  <si>
    <t>OBSŁUGA DŁUGU PUBL.</t>
  </si>
  <si>
    <t>§  9520</t>
  </si>
  <si>
    <t>§  9550</t>
  </si>
  <si>
    <t>§ od 9410 do 9440</t>
  </si>
  <si>
    <t>§ 9570</t>
  </si>
  <si>
    <t>§  9310</t>
  </si>
  <si>
    <t>§  9920</t>
  </si>
  <si>
    <t>§  9950</t>
  </si>
  <si>
    <t>§  9940</t>
  </si>
  <si>
    <t>§  9820</t>
  </si>
  <si>
    <t>Administracja publiczna</t>
  </si>
  <si>
    <t>Starostwa Powiatowe</t>
  </si>
  <si>
    <t>wpływy z opłaty komunikacyjnej</t>
  </si>
  <si>
    <t>wpływy z różnych dochodów</t>
  </si>
  <si>
    <t>Bezpieczeństwo publiczne i ochrona przeciwpożarowa</t>
  </si>
  <si>
    <t>756</t>
  </si>
  <si>
    <t>75622</t>
  </si>
  <si>
    <t>Różne rozliczenia</t>
  </si>
  <si>
    <t>Różne rozliczenia finansowe</t>
  </si>
  <si>
    <t>Rozliczenia między jednostkami samorządu terytorialnego</t>
  </si>
  <si>
    <t>wpływy z tytułu pomocy finansowej udzielanej j.s.t. na dofinansowanie własnych zadań bieżących</t>
  </si>
  <si>
    <t>wpływy z tytułu pomocy finansowej udzielanej j.s.t. na dofinansowanie własnych zadań inwestycyjnych i zakupów inwestycyjnych</t>
  </si>
  <si>
    <t>Oświata i wychowanie</t>
  </si>
  <si>
    <t>dochody z najmu i dzierżawy składników majątkowych Skarbu Państwa lub j.s.t. oraz innych umów o podobym charakterze</t>
  </si>
  <si>
    <t>Wpływy z różnych dochodów</t>
  </si>
  <si>
    <t>c)</t>
  </si>
  <si>
    <t>Ochrona zdrowia</t>
  </si>
  <si>
    <t>d)</t>
  </si>
  <si>
    <t>Powiatowe Centra Pomocy Rodzinie</t>
  </si>
  <si>
    <t>PFRON</t>
  </si>
  <si>
    <t>Edukacyjna opieka wychowawcza</t>
  </si>
  <si>
    <t>§ 2710 wydatki na pomoc finansową udzielaną na podstawie porozumień z jst na dofinansow. zadań bieżących</t>
  </si>
  <si>
    <t xml:space="preserve">                                                                                           Przewodniczący Rady Powiatu</t>
  </si>
  <si>
    <t xml:space="preserve">                                                 Wacław Sapieha</t>
  </si>
  <si>
    <t>Leśnictwo</t>
  </si>
  <si>
    <t>IV</t>
  </si>
  <si>
    <t>Działalność usługowa</t>
  </si>
  <si>
    <t>Skł.na ubezp.zdrow.dla os.nie obj.obow.ubezp.</t>
  </si>
  <si>
    <t>nagr.i wydatki nie zal.do wynagr.</t>
  </si>
  <si>
    <t>Wypłaty z tyt. poręczeń i gwarancji</t>
  </si>
  <si>
    <t xml:space="preserve">    1. Dotacje celowe na zadania własne powiatu § 2130, § 6430</t>
  </si>
  <si>
    <t xml:space="preserve">STUACJA FINANSOWA POWIATU W LATACH 2005 - 20015 </t>
  </si>
  <si>
    <t>Przewidywane wykonanie za 2005r</t>
  </si>
  <si>
    <t xml:space="preserve">udziały we wpływach z PDOFi PDOP </t>
  </si>
  <si>
    <t>spłata pożyczek, kredytów zaciągniętych w związku ze środkami określonymi w umowie zawartej z podmiotem dysponującym funduszami strukturalnymi lub F.S.U.E.</t>
  </si>
  <si>
    <t>Spłata przewidywanych pożyczek, kredytów, w tym:</t>
  </si>
  <si>
    <t>spłata pożyczek, kredytów krajowych</t>
  </si>
  <si>
    <t>Wartość udzielonych poręczeń</t>
  </si>
  <si>
    <t>VI.1.</t>
  </si>
  <si>
    <t>Dług/dochody(%) (art..114 ust.1 u.f.p.</t>
  </si>
  <si>
    <t>VI.2.</t>
  </si>
  <si>
    <t>Ppniesione nakłady do końca 2005 roku</t>
  </si>
  <si>
    <t>Łączne nakłady finansowe (6+7+12+13)</t>
  </si>
  <si>
    <t>koszty "studium wykonalnośi" inwestycji (poz. 1, 2, 6 i 10) sfinansowano w latach 2004 i 2005</t>
  </si>
  <si>
    <t>Spłaty pożyczek otrzymanych na finansowanie zadań realizowanych z udziałem środków pochodzących z budżetu UE</t>
  </si>
  <si>
    <t>Dochody i wydatki związane z realizacją zadań wspólnych realizowanych w drodze umów (porozumień)                 z jednostkami samorządu terytorialnego</t>
  </si>
  <si>
    <t>Spłaty kredytów, pożyczek do dochodów (%) (art..113 ust. 1 u.f.p.)</t>
  </si>
  <si>
    <t>VII.1.</t>
  </si>
  <si>
    <t>VII.2.</t>
  </si>
  <si>
    <t xml:space="preserve">                                 Wydatki inwestycyjne powiatu w roku budżetowym 2006 oraz wydatki  na wieloletnie programy inwestycyjne w latach 2006 - 2008                                                                                               </t>
  </si>
  <si>
    <t>rok budżetowy 2006 (7+8+9+10+11)</t>
  </si>
  <si>
    <t>środki pochodzące z innych źródeł</t>
  </si>
  <si>
    <t>2008r.</t>
  </si>
  <si>
    <t>Zespół szkół Licealnych i Zawodowych w Olecku</t>
  </si>
  <si>
    <t>Realizacja zad.inwest."Mazurskie Centrum Edukacji i Inicjatyw Lokalnych" (lata: 2005-2006)</t>
  </si>
  <si>
    <t>Opracowanie dokumentacji na ulice powiatowe miasta Olecko ( rok 2006)</t>
  </si>
  <si>
    <t>Zakup i montaż platformy do przewozu osób niepełnosprawnych ( rok 2006)</t>
  </si>
  <si>
    <t>Powiatowy Urząd Pracy w Olecku</t>
  </si>
  <si>
    <t>Zakup kserokopiarki i centrali telefonicznej (rok 2006)</t>
  </si>
  <si>
    <t>Remont i adaptacja pomieszczeń na bibliotekę pedagodiczną (rok 2006)</t>
  </si>
  <si>
    <t>Środki wymienione w art..3 ust.1pkt 2 i 2a u.f.p</t>
  </si>
  <si>
    <t>Zakup programów komputerowych                      (rok 2006)</t>
  </si>
  <si>
    <t>Wacław Sapieha</t>
  </si>
  <si>
    <t>DPS w Kowalach Oleckich</t>
  </si>
  <si>
    <t>Plan na 2006 r</t>
  </si>
  <si>
    <t>- przelewy na fundusz centralny</t>
  </si>
  <si>
    <t>- przelewy na fundusz wojewódzki</t>
  </si>
  <si>
    <t>Wydatki inwestycyjne jednostek budżetowych</t>
  </si>
  <si>
    <t>01008</t>
  </si>
  <si>
    <t>2350</t>
  </si>
  <si>
    <t>Melioracje wodne</t>
  </si>
  <si>
    <t>§ 903</t>
  </si>
  <si>
    <t>UMOWY</t>
  </si>
  <si>
    <t>POROZUMIENIA</t>
  </si>
  <si>
    <t>RAZEM UMOWY I POROZUMIENIA</t>
  </si>
  <si>
    <t xml:space="preserve">    2. Dotacje celowe na zadania z zakr.administr.rządowej wykonyw.przez powiat oraz na realiz.zadań służb, inspekcji i straży(§ § 2110, 6410)</t>
  </si>
  <si>
    <r>
      <t xml:space="preserve">            </t>
    </r>
    <r>
      <rPr>
        <b/>
        <u val="single"/>
        <sz val="14"/>
        <rFont val="Arial CE"/>
        <family val="0"/>
      </rPr>
      <t xml:space="preserve"> PLAN DOCHODÓW BUDŻETU POWIATU NA ROK 2006</t>
    </r>
  </si>
  <si>
    <t>Plan  2006</t>
  </si>
  <si>
    <t>dotacje celowe otrzymane z gmin na inwestycje</t>
  </si>
  <si>
    <t>Skł. na ubezp. zdrow.osób nie obj. obow.ubezp.zdrow.</t>
  </si>
  <si>
    <t>Przebudowa i modernizacja Szpitala Powiatowego w Olecku  (lata: 1986 - 2008)</t>
  </si>
  <si>
    <t>Przebudowa i modernizacja Szpitala Powiatowego w Olecku (k.ogrzewania) (lata: 1986-2008)</t>
  </si>
  <si>
    <t xml:space="preserve">    3. Dotacje celowe na zadania (umowy i porozumienia) z jst § § 2310,2320,2330,6610,6620,6630)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</si>
</sst>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</numFmts>
  <fonts count="2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u val="single"/>
      <sz val="11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u val="single"/>
      <sz val="12"/>
      <name val="Arial CE"/>
      <family val="2"/>
    </font>
    <font>
      <sz val="8"/>
      <name val="Arial CE"/>
      <family val="2"/>
    </font>
    <font>
      <b/>
      <u val="single"/>
      <sz val="10"/>
      <name val="Arial CE"/>
      <family val="2"/>
    </font>
    <font>
      <b/>
      <u val="single"/>
      <sz val="8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b/>
      <i/>
      <u val="single"/>
      <sz val="14"/>
      <name val="Arial CE"/>
      <family val="2"/>
    </font>
    <font>
      <b/>
      <i/>
      <sz val="8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6"/>
      <name val="Arial CE"/>
      <family val="2"/>
    </font>
    <font>
      <i/>
      <sz val="10"/>
      <name val="Arial CE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7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9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wrapText="1"/>
    </xf>
    <xf numFmtId="165" fontId="0" fillId="0" borderId="1" xfId="0" applyNumberFormat="1" applyBorder="1" applyAlignment="1">
      <alignment/>
    </xf>
    <xf numFmtId="10" fontId="0" fillId="0" borderId="1" xfId="0" applyNumberFormat="1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165" fontId="4" fillId="0" borderId="1" xfId="0" applyNumberFormat="1" applyFont="1" applyBorder="1" applyAlignment="1">
      <alignment/>
    </xf>
    <xf numFmtId="10" fontId="4" fillId="0" borderId="1" xfId="0" applyNumberFormat="1" applyFont="1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0" fontId="6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/>
    </xf>
    <xf numFmtId="49" fontId="0" fillId="0" borderId="1" xfId="0" applyNumberForma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right"/>
    </xf>
    <xf numFmtId="49" fontId="0" fillId="0" borderId="1" xfId="0" applyNumberFormat="1" applyBorder="1" applyAlignment="1">
      <alignment horizontal="left" wrapText="1"/>
    </xf>
    <xf numFmtId="49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49" fontId="0" fillId="0" borderId="1" xfId="0" applyNumberFormat="1" applyBorder="1" applyAlignment="1">
      <alignment/>
    </xf>
    <xf numFmtId="0" fontId="0" fillId="0" borderId="1" xfId="0" applyFont="1" applyBorder="1" applyAlignment="1">
      <alignment wrapText="1"/>
    </xf>
    <xf numFmtId="49" fontId="0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 horizontal="left"/>
    </xf>
    <xf numFmtId="49" fontId="0" fillId="0" borderId="1" xfId="0" applyNumberFormat="1" applyFont="1" applyBorder="1" applyAlignment="1">
      <alignment horizontal="left" wrapText="1"/>
    </xf>
    <xf numFmtId="0" fontId="0" fillId="0" borderId="1" xfId="0" applyBorder="1" applyAlignment="1">
      <alignment horizontal="left"/>
    </xf>
    <xf numFmtId="49" fontId="0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right" wrapText="1"/>
    </xf>
    <xf numFmtId="49" fontId="0" fillId="0" borderId="1" xfId="0" applyNumberFormat="1" applyBorder="1" applyAlignment="1">
      <alignment horizontal="center" wrapText="1"/>
    </xf>
    <xf numFmtId="0" fontId="4" fillId="0" borderId="0" xfId="0" applyFont="1" applyAlignment="1">
      <alignment/>
    </xf>
    <xf numFmtId="49" fontId="4" fillId="0" borderId="1" xfId="0" applyNumberFormat="1" applyFont="1" applyBorder="1" applyAlignment="1">
      <alignment horizontal="center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4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right"/>
    </xf>
    <xf numFmtId="0" fontId="4" fillId="0" borderId="5" xfId="0" applyFont="1" applyBorder="1" applyAlignment="1">
      <alignment wrapText="1"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 horizontal="right"/>
    </xf>
    <xf numFmtId="0" fontId="0" fillId="0" borderId="5" xfId="0" applyBorder="1" applyAlignment="1">
      <alignment wrapText="1"/>
    </xf>
    <xf numFmtId="0" fontId="0" fillId="0" borderId="5" xfId="0" applyBorder="1" applyAlignment="1">
      <alignment horizontal="right"/>
    </xf>
    <xf numFmtId="49" fontId="0" fillId="0" borderId="9" xfId="0" applyNumberFormat="1" applyFont="1" applyBorder="1" applyAlignment="1">
      <alignment/>
    </xf>
    <xf numFmtId="0" fontId="4" fillId="0" borderId="1" xfId="0" applyFont="1" applyBorder="1" applyAlignment="1">
      <alignment horizontal="right" wrapText="1"/>
    </xf>
    <xf numFmtId="0" fontId="0" fillId="0" borderId="1" xfId="0" applyFont="1" applyBorder="1" applyAlignment="1">
      <alignment horizontal="right" wrapText="1"/>
    </xf>
    <xf numFmtId="0" fontId="4" fillId="0" borderId="1" xfId="0" applyFont="1" applyBorder="1" applyAlignment="1">
      <alignment horizontal="left"/>
    </xf>
    <xf numFmtId="0" fontId="4" fillId="0" borderId="9" xfId="0" applyFont="1" applyBorder="1" applyAlignment="1">
      <alignment horizontal="right"/>
    </xf>
    <xf numFmtId="0" fontId="4" fillId="0" borderId="1" xfId="0" applyFont="1" applyBorder="1" applyAlignment="1">
      <alignment horizontal="left" wrapText="1"/>
    </xf>
    <xf numFmtId="0" fontId="4" fillId="0" borderId="10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49" fontId="0" fillId="0" borderId="1" xfId="0" applyNumberForma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0" fontId="4" fillId="0" borderId="11" xfId="0" applyFont="1" applyBorder="1" applyAlignment="1">
      <alignment horizontal="center"/>
    </xf>
    <xf numFmtId="165" fontId="0" fillId="0" borderId="5" xfId="0" applyNumberFormat="1" applyBorder="1" applyAlignment="1">
      <alignment/>
    </xf>
    <xf numFmtId="0" fontId="5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4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5" xfId="0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9" xfId="0" applyFill="1" applyBorder="1" applyAlignment="1">
      <alignment/>
    </xf>
    <xf numFmtId="0" fontId="0" fillId="0" borderId="9" xfId="0" applyBorder="1" applyAlignment="1">
      <alignment/>
    </xf>
    <xf numFmtId="0" fontId="4" fillId="0" borderId="14" xfId="0" applyFont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9" xfId="0" applyBorder="1" applyAlignment="1">
      <alignment wrapText="1"/>
    </xf>
    <xf numFmtId="0" fontId="4" fillId="0" borderId="13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/>
    </xf>
    <xf numFmtId="165" fontId="0" fillId="0" borderId="1" xfId="0" applyNumberFormat="1" applyFont="1" applyBorder="1" applyAlignment="1">
      <alignment/>
    </xf>
    <xf numFmtId="0" fontId="4" fillId="0" borderId="25" xfId="0" applyFont="1" applyBorder="1" applyAlignment="1">
      <alignment/>
    </xf>
    <xf numFmtId="0" fontId="0" fillId="0" borderId="0" xfId="0" applyAlignment="1">
      <alignment horizontal="right"/>
    </xf>
    <xf numFmtId="0" fontId="4" fillId="0" borderId="26" xfId="0" applyFont="1" applyBorder="1" applyAlignment="1">
      <alignment horizontal="center"/>
    </xf>
    <xf numFmtId="41" fontId="9" fillId="0" borderId="9" xfId="0" applyNumberFormat="1" applyFont="1" applyBorder="1" applyAlignment="1">
      <alignment horizontal="center"/>
    </xf>
    <xf numFmtId="0" fontId="0" fillId="0" borderId="0" xfId="0" applyFont="1" applyAlignment="1">
      <alignment/>
    </xf>
    <xf numFmtId="2" fontId="4" fillId="0" borderId="1" xfId="0" applyNumberFormat="1" applyFont="1" applyBorder="1" applyAlignment="1">
      <alignment/>
    </xf>
    <xf numFmtId="0" fontId="0" fillId="0" borderId="5" xfId="0" applyFont="1" applyBorder="1" applyAlignment="1">
      <alignment wrapText="1"/>
    </xf>
    <xf numFmtId="2" fontId="0" fillId="0" borderId="1" xfId="0" applyNumberFormat="1" applyBorder="1" applyAlignment="1">
      <alignment/>
    </xf>
    <xf numFmtId="164" fontId="4" fillId="0" borderId="1" xfId="0" applyNumberFormat="1" applyFont="1" applyBorder="1" applyAlignment="1">
      <alignment/>
    </xf>
    <xf numFmtId="164" fontId="0" fillId="0" borderId="1" xfId="0" applyNumberFormat="1" applyBorder="1" applyAlignment="1">
      <alignment/>
    </xf>
    <xf numFmtId="0" fontId="8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10" fontId="0" fillId="0" borderId="1" xfId="0" applyNumberFormat="1" applyFont="1" applyBorder="1" applyAlignment="1">
      <alignment/>
    </xf>
    <xf numFmtId="0" fontId="0" fillId="0" borderId="9" xfId="0" applyFont="1" applyBorder="1" applyAlignment="1">
      <alignment wrapText="1"/>
    </xf>
    <xf numFmtId="0" fontId="0" fillId="0" borderId="9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4" fillId="0" borderId="1" xfId="0" applyNumberFormat="1" applyFont="1" applyBorder="1" applyAlignment="1">
      <alignment/>
    </xf>
    <xf numFmtId="0" fontId="0" fillId="0" borderId="1" xfId="0" applyNumberForma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4" fillId="0" borderId="30" xfId="0" applyFont="1" applyBorder="1" applyAlignment="1">
      <alignment horizontal="right"/>
    </xf>
    <xf numFmtId="0" fontId="0" fillId="0" borderId="31" xfId="0" applyFont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165" fontId="0" fillId="0" borderId="1" xfId="0" applyNumberFormat="1" applyFont="1" applyBorder="1" applyAlignment="1">
      <alignment horizontal="right"/>
    </xf>
    <xf numFmtId="0" fontId="4" fillId="0" borderId="32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0" fillId="0" borderId="31" xfId="0" applyFont="1" applyBorder="1" applyAlignment="1">
      <alignment horizontal="right"/>
    </xf>
    <xf numFmtId="0" fontId="0" fillId="0" borderId="33" xfId="0" applyFont="1" applyBorder="1" applyAlignment="1">
      <alignment horizontal="right"/>
    </xf>
    <xf numFmtId="0" fontId="0" fillId="0" borderId="9" xfId="0" applyFont="1" applyBorder="1" applyAlignment="1">
      <alignment horizontal="left" wrapText="1"/>
    </xf>
    <xf numFmtId="0" fontId="0" fillId="0" borderId="9" xfId="0" applyFont="1" applyBorder="1" applyAlignment="1">
      <alignment/>
    </xf>
    <xf numFmtId="165" fontId="0" fillId="0" borderId="9" xfId="0" applyNumberFormat="1" applyFont="1" applyBorder="1" applyAlignment="1">
      <alignment horizontal="right"/>
    </xf>
    <xf numFmtId="0" fontId="0" fillId="0" borderId="34" xfId="0" applyFont="1" applyBorder="1" applyAlignment="1">
      <alignment horizontal="right"/>
    </xf>
    <xf numFmtId="0" fontId="0" fillId="0" borderId="5" xfId="0" applyFont="1" applyBorder="1" applyAlignment="1">
      <alignment horizontal="left" wrapText="1"/>
    </xf>
    <xf numFmtId="0" fontId="0" fillId="0" borderId="5" xfId="0" applyFont="1" applyBorder="1" applyAlignment="1">
      <alignment/>
    </xf>
    <xf numFmtId="165" fontId="0" fillId="0" borderId="5" xfId="0" applyNumberFormat="1" applyFont="1" applyBorder="1" applyAlignment="1">
      <alignment horizontal="right"/>
    </xf>
    <xf numFmtId="49" fontId="0" fillId="0" borderId="0" xfId="0" applyNumberFormat="1" applyAlignment="1">
      <alignment/>
    </xf>
    <xf numFmtId="0" fontId="5" fillId="0" borderId="0" xfId="0" applyFont="1" applyAlignment="1">
      <alignment horizontal="center" wrapText="1"/>
    </xf>
    <xf numFmtId="0" fontId="4" fillId="0" borderId="35" xfId="0" applyFont="1" applyBorder="1" applyAlignment="1">
      <alignment horizontal="center"/>
    </xf>
    <xf numFmtId="0" fontId="4" fillId="0" borderId="35" xfId="0" applyFont="1" applyBorder="1" applyAlignment="1">
      <alignment/>
    </xf>
    <xf numFmtId="0" fontId="0" fillId="0" borderId="36" xfId="0" applyBorder="1" applyAlignment="1">
      <alignment horizontal="center"/>
    </xf>
    <xf numFmtId="49" fontId="0" fillId="0" borderId="37" xfId="0" applyNumberFormat="1" applyBorder="1" applyAlignment="1">
      <alignment/>
    </xf>
    <xf numFmtId="49" fontId="0" fillId="0" borderId="27" xfId="0" applyNumberFormat="1" applyBorder="1" applyAlignment="1">
      <alignment/>
    </xf>
    <xf numFmtId="49" fontId="0" fillId="0" borderId="38" xfId="0" applyNumberFormat="1" applyBorder="1" applyAlignment="1">
      <alignment/>
    </xf>
    <xf numFmtId="0" fontId="4" fillId="0" borderId="24" xfId="0" applyFont="1" applyBorder="1" applyAlignment="1">
      <alignment horizontal="center"/>
    </xf>
    <xf numFmtId="49" fontId="0" fillId="0" borderId="25" xfId="0" applyNumberFormat="1" applyBorder="1" applyAlignment="1">
      <alignment/>
    </xf>
    <xf numFmtId="49" fontId="0" fillId="0" borderId="39" xfId="0" applyNumberFormat="1" applyBorder="1" applyAlignment="1">
      <alignment/>
    </xf>
    <xf numFmtId="0" fontId="4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3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/>
    </xf>
    <xf numFmtId="0" fontId="0" fillId="0" borderId="40" xfId="0" applyBorder="1" applyAlignment="1">
      <alignment horizontal="center"/>
    </xf>
    <xf numFmtId="0" fontId="4" fillId="0" borderId="27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19" xfId="0" applyBorder="1" applyAlignment="1">
      <alignment/>
    </xf>
    <xf numFmtId="0" fontId="1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41" xfId="0" applyBorder="1" applyAlignment="1">
      <alignment/>
    </xf>
    <xf numFmtId="165" fontId="0" fillId="0" borderId="0" xfId="0" applyNumberFormat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49" fontId="4" fillId="0" borderId="38" xfId="0" applyNumberFormat="1" applyFont="1" applyBorder="1" applyAlignment="1">
      <alignment/>
    </xf>
    <xf numFmtId="49" fontId="0" fillId="0" borderId="38" xfId="0" applyNumberFormat="1" applyBorder="1" applyAlignment="1">
      <alignment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49" fontId="0" fillId="0" borderId="1" xfId="0" applyNumberFormat="1" applyFont="1" applyBorder="1" applyAlignment="1">
      <alignment wrapText="1"/>
    </xf>
    <xf numFmtId="0" fontId="4" fillId="0" borderId="42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44" xfId="0" applyBorder="1" applyAlignment="1">
      <alignment wrapText="1"/>
    </xf>
    <xf numFmtId="0" fontId="0" fillId="0" borderId="1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0" xfId="0" applyBorder="1" applyAlignment="1">
      <alignment horizontal="right"/>
    </xf>
    <xf numFmtId="0" fontId="7" fillId="0" borderId="1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12" fillId="0" borderId="0" xfId="0" applyFont="1" applyAlignment="1">
      <alignment/>
    </xf>
    <xf numFmtId="165" fontId="12" fillId="0" borderId="0" xfId="0" applyNumberFormat="1" applyFont="1" applyAlignment="1">
      <alignment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165" fontId="10" fillId="0" borderId="1" xfId="0" applyNumberFormat="1" applyFont="1" applyBorder="1" applyAlignment="1">
      <alignment/>
    </xf>
    <xf numFmtId="0" fontId="12" fillId="0" borderId="4" xfId="0" applyFont="1" applyBorder="1" applyAlignment="1">
      <alignment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/>
    </xf>
    <xf numFmtId="165" fontId="12" fillId="0" borderId="1" xfId="0" applyNumberFormat="1" applyFont="1" applyBorder="1" applyAlignment="1">
      <alignment/>
    </xf>
    <xf numFmtId="0" fontId="12" fillId="0" borderId="5" xfId="0" applyFont="1" applyBorder="1" applyAlignment="1">
      <alignment/>
    </xf>
    <xf numFmtId="0" fontId="12" fillId="0" borderId="9" xfId="0" applyFont="1" applyBorder="1" applyAlignment="1">
      <alignment wrapText="1"/>
    </xf>
    <xf numFmtId="0" fontId="12" fillId="0" borderId="9" xfId="0" applyFont="1" applyBorder="1" applyAlignment="1">
      <alignment horizontal="center" wrapText="1"/>
    </xf>
    <xf numFmtId="0" fontId="12" fillId="0" borderId="9" xfId="0" applyFont="1" applyBorder="1" applyAlignment="1">
      <alignment/>
    </xf>
    <xf numFmtId="165" fontId="12" fillId="0" borderId="9" xfId="0" applyNumberFormat="1" applyFont="1" applyBorder="1" applyAlignment="1">
      <alignment/>
    </xf>
    <xf numFmtId="0" fontId="10" fillId="0" borderId="5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12" fillId="0" borderId="31" xfId="0" applyFont="1" applyBorder="1" applyAlignment="1">
      <alignment wrapText="1"/>
    </xf>
    <xf numFmtId="0" fontId="12" fillId="0" borderId="33" xfId="0" applyFont="1" applyBorder="1" applyAlignment="1">
      <alignment wrapText="1"/>
    </xf>
    <xf numFmtId="0" fontId="9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 wrapText="1"/>
    </xf>
    <xf numFmtId="0" fontId="12" fillId="0" borderId="26" xfId="0" applyFont="1" applyBorder="1" applyAlignment="1">
      <alignment/>
    </xf>
    <xf numFmtId="0" fontId="12" fillId="0" borderId="44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28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14" fillId="0" borderId="4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wrapText="1"/>
    </xf>
    <xf numFmtId="0" fontId="0" fillId="0" borderId="43" xfId="0" applyFont="1" applyBorder="1" applyAlignment="1">
      <alignment/>
    </xf>
    <xf numFmtId="0" fontId="12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left"/>
    </xf>
    <xf numFmtId="49" fontId="12" fillId="0" borderId="1" xfId="0" applyNumberFormat="1" applyFont="1" applyBorder="1" applyAlignment="1">
      <alignment horizontal="left"/>
    </xf>
    <xf numFmtId="49" fontId="12" fillId="0" borderId="1" xfId="0" applyNumberFormat="1" applyFont="1" applyBorder="1" applyAlignment="1">
      <alignment wrapText="1"/>
    </xf>
    <xf numFmtId="49" fontId="12" fillId="0" borderId="1" xfId="0" applyNumberFormat="1" applyFont="1" applyBorder="1" applyAlignment="1">
      <alignment/>
    </xf>
    <xf numFmtId="0" fontId="4" fillId="0" borderId="48" xfId="0" applyFont="1" applyBorder="1" applyAlignment="1">
      <alignment horizontal="center"/>
    </xf>
    <xf numFmtId="10" fontId="0" fillId="0" borderId="5" xfId="0" applyNumberFormat="1" applyBorder="1" applyAlignment="1">
      <alignment/>
    </xf>
    <xf numFmtId="10" fontId="0" fillId="0" borderId="5" xfId="0" applyNumberFormat="1" applyBorder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65" fontId="4" fillId="0" borderId="5" xfId="0" applyNumberFormat="1" applyFont="1" applyBorder="1" applyAlignment="1">
      <alignment/>
    </xf>
    <xf numFmtId="49" fontId="0" fillId="0" borderId="9" xfId="0" applyNumberFormat="1" applyFont="1" applyBorder="1" applyAlignment="1">
      <alignment horizontal="left"/>
    </xf>
    <xf numFmtId="0" fontId="0" fillId="0" borderId="2" xfId="0" applyBorder="1" applyAlignment="1">
      <alignment/>
    </xf>
    <xf numFmtId="2" fontId="0" fillId="0" borderId="5" xfId="0" applyNumberFormat="1" applyBorder="1" applyAlignment="1">
      <alignment/>
    </xf>
    <xf numFmtId="0" fontId="10" fillId="2" borderId="11" xfId="0" applyFont="1" applyFill="1" applyBorder="1" applyAlignment="1">
      <alignment horizontal="center" vertical="center" wrapText="1"/>
    </xf>
    <xf numFmtId="164" fontId="0" fillId="0" borderId="5" xfId="0" applyNumberFormat="1" applyBorder="1" applyAlignment="1">
      <alignment/>
    </xf>
    <xf numFmtId="0" fontId="0" fillId="0" borderId="5" xfId="0" applyNumberFormat="1" applyBorder="1" applyAlignment="1">
      <alignment/>
    </xf>
    <xf numFmtId="165" fontId="10" fillId="0" borderId="1" xfId="0" applyNumberFormat="1" applyFont="1" applyBorder="1" applyAlignment="1">
      <alignment horizontal="right"/>
    </xf>
    <xf numFmtId="165" fontId="12" fillId="0" borderId="1" xfId="0" applyNumberFormat="1" applyFont="1" applyBorder="1" applyAlignment="1">
      <alignment horizontal="right"/>
    </xf>
    <xf numFmtId="0" fontId="18" fillId="0" borderId="1" xfId="0" applyFont="1" applyBorder="1" applyAlignment="1">
      <alignment wrapText="1"/>
    </xf>
    <xf numFmtId="0" fontId="0" fillId="0" borderId="0" xfId="0" applyFont="1" applyAlignment="1">
      <alignment horizontal="center" shrinkToFit="1"/>
    </xf>
    <xf numFmtId="0" fontId="0" fillId="0" borderId="1" xfId="0" applyNumberFormat="1" applyFont="1" applyBorder="1" applyAlignment="1">
      <alignment/>
    </xf>
    <xf numFmtId="0" fontId="0" fillId="0" borderId="31" xfId="0" applyFont="1" applyBorder="1" applyAlignment="1">
      <alignment horizontal="right" wrapText="1"/>
    </xf>
    <xf numFmtId="0" fontId="0" fillId="0" borderId="4" xfId="0" applyBorder="1" applyAlignment="1">
      <alignment wrapText="1"/>
    </xf>
    <xf numFmtId="0" fontId="0" fillId="0" borderId="4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 applyAlignment="1">
      <alignment wrapText="1"/>
    </xf>
    <xf numFmtId="0" fontId="4" fillId="0" borderId="4" xfId="0" applyFont="1" applyBorder="1" applyAlignment="1">
      <alignment/>
    </xf>
    <xf numFmtId="0" fontId="4" fillId="0" borderId="31" xfId="0" applyFont="1" applyBorder="1" applyAlignment="1">
      <alignment wrapText="1"/>
    </xf>
    <xf numFmtId="0" fontId="0" fillId="0" borderId="0" xfId="0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left" vertical="center"/>
      <protection/>
    </xf>
    <xf numFmtId="0" fontId="0" fillId="0" borderId="1" xfId="0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/>
    </xf>
    <xf numFmtId="0" fontId="0" fillId="0" borderId="0" xfId="0" applyAlignment="1" applyProtection="1">
      <alignment horizontal="right"/>
      <protection/>
    </xf>
    <xf numFmtId="0" fontId="4" fillId="0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left"/>
    </xf>
    <xf numFmtId="165" fontId="4" fillId="3" borderId="1" xfId="0" applyNumberFormat="1" applyFont="1" applyFill="1" applyBorder="1" applyAlignment="1">
      <alignment/>
    </xf>
    <xf numFmtId="10" fontId="4" fillId="3" borderId="1" xfId="0" applyNumberFormat="1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10" fontId="0" fillId="0" borderId="5" xfId="0" applyNumberFormat="1" applyFont="1" applyBorder="1" applyAlignment="1">
      <alignment horizontal="center"/>
    </xf>
    <xf numFmtId="10" fontId="4" fillId="0" borderId="5" xfId="0" applyNumberFormat="1" applyFont="1" applyBorder="1" applyAlignment="1">
      <alignment horizontal="center"/>
    </xf>
    <xf numFmtId="49" fontId="4" fillId="4" borderId="5" xfId="0" applyNumberFormat="1" applyFont="1" applyFill="1" applyBorder="1" applyAlignment="1">
      <alignment/>
    </xf>
    <xf numFmtId="0" fontId="4" fillId="4" borderId="5" xfId="0" applyFont="1" applyFill="1" applyBorder="1" applyAlignment="1">
      <alignment/>
    </xf>
    <xf numFmtId="10" fontId="0" fillId="4" borderId="5" xfId="0" applyNumberFormat="1" applyFill="1" applyBorder="1" applyAlignment="1">
      <alignment horizontal="center"/>
    </xf>
    <xf numFmtId="0" fontId="0" fillId="4" borderId="0" xfId="0" applyFill="1" applyAlignment="1">
      <alignment/>
    </xf>
    <xf numFmtId="49" fontId="4" fillId="4" borderId="1" xfId="0" applyNumberFormat="1" applyFont="1" applyFill="1" applyBorder="1" applyAlignment="1">
      <alignment/>
    </xf>
    <xf numFmtId="0" fontId="4" fillId="4" borderId="1" xfId="0" applyFont="1" applyFill="1" applyBorder="1" applyAlignment="1">
      <alignment/>
    </xf>
    <xf numFmtId="49" fontId="0" fillId="4" borderId="1" xfId="0" applyNumberFormat="1" applyFill="1" applyBorder="1" applyAlignment="1">
      <alignment horizontal="left"/>
    </xf>
    <xf numFmtId="0" fontId="4" fillId="4" borderId="1" xfId="0" applyFont="1" applyFill="1" applyBorder="1" applyAlignment="1">
      <alignment horizontal="right"/>
    </xf>
    <xf numFmtId="49" fontId="4" fillId="4" borderId="1" xfId="0" applyNumberFormat="1" applyFont="1" applyFill="1" applyBorder="1" applyAlignment="1">
      <alignment horizontal="left"/>
    </xf>
    <xf numFmtId="0" fontId="10" fillId="4" borderId="1" xfId="0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49" fontId="4" fillId="4" borderId="1" xfId="0" applyNumberFormat="1" applyFont="1" applyFill="1" applyBorder="1" applyAlignment="1">
      <alignment horizontal="center"/>
    </xf>
    <xf numFmtId="0" fontId="4" fillId="4" borderId="0" xfId="0" applyFont="1" applyFill="1" applyAlignment="1">
      <alignment/>
    </xf>
    <xf numFmtId="0" fontId="7" fillId="4" borderId="1" xfId="0" applyFont="1" applyFill="1" applyBorder="1" applyAlignment="1">
      <alignment wrapText="1"/>
    </xf>
    <xf numFmtId="10" fontId="0" fillId="0" borderId="5" xfId="0" applyNumberFormat="1" applyFill="1" applyBorder="1" applyAlignment="1">
      <alignment horizontal="center"/>
    </xf>
    <xf numFmtId="49" fontId="0" fillId="0" borderId="5" xfId="0" applyNumberFormat="1" applyFont="1" applyBorder="1" applyAlignment="1">
      <alignment/>
    </xf>
    <xf numFmtId="49" fontId="0" fillId="0" borderId="5" xfId="0" applyNumberFormat="1" applyFont="1" applyBorder="1" applyAlignment="1">
      <alignment horizontal="left"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10" fontId="0" fillId="2" borderId="5" xfId="0" applyNumberFormat="1" applyFill="1" applyBorder="1" applyAlignment="1">
      <alignment horizontal="center"/>
    </xf>
    <xf numFmtId="49" fontId="0" fillId="5" borderId="1" xfId="0" applyNumberFormat="1" applyFill="1" applyBorder="1" applyAlignment="1">
      <alignment horizontal="center"/>
    </xf>
    <xf numFmtId="49" fontId="0" fillId="5" borderId="1" xfId="0" applyNumberFormat="1" applyFill="1" applyBorder="1" applyAlignment="1">
      <alignment/>
    </xf>
    <xf numFmtId="0" fontId="4" fillId="5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0" fontId="0" fillId="0" borderId="26" xfId="0" applyBorder="1" applyAlignment="1">
      <alignment/>
    </xf>
    <xf numFmtId="0" fontId="0" fillId="0" borderId="36" xfId="0" applyBorder="1" applyAlignment="1">
      <alignment/>
    </xf>
    <xf numFmtId="0" fontId="0" fillId="0" borderId="7" xfId="0" applyBorder="1" applyAlignment="1">
      <alignment/>
    </xf>
    <xf numFmtId="0" fontId="0" fillId="0" borderId="40" xfId="0" applyBorder="1" applyAlignment="1">
      <alignment/>
    </xf>
    <xf numFmtId="0" fontId="4" fillId="6" borderId="1" xfId="0" applyFont="1" applyFill="1" applyBorder="1" applyAlignment="1">
      <alignment horizontal="right"/>
    </xf>
    <xf numFmtId="49" fontId="4" fillId="3" borderId="1" xfId="0" applyNumberFormat="1" applyFont="1" applyFill="1" applyBorder="1" applyAlignment="1">
      <alignment/>
    </xf>
    <xf numFmtId="0" fontId="4" fillId="3" borderId="1" xfId="0" applyFont="1" applyFill="1" applyBorder="1" applyAlignment="1">
      <alignment wrapText="1"/>
    </xf>
    <xf numFmtId="49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right" wrapText="1"/>
    </xf>
    <xf numFmtId="0" fontId="0" fillId="0" borderId="50" xfId="0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/>
    </xf>
    <xf numFmtId="165" fontId="4" fillId="3" borderId="1" xfId="0" applyNumberFormat="1" applyFont="1" applyFill="1" applyBorder="1" applyAlignment="1">
      <alignment horizontal="right"/>
    </xf>
    <xf numFmtId="165" fontId="5" fillId="5" borderId="1" xfId="0" applyNumberFormat="1" applyFont="1" applyFill="1" applyBorder="1" applyAlignment="1">
      <alignment/>
    </xf>
    <xf numFmtId="10" fontId="4" fillId="5" borderId="1" xfId="0" applyNumberFormat="1" applyFont="1" applyFill="1" applyBorder="1" applyAlignment="1">
      <alignment/>
    </xf>
    <xf numFmtId="10" fontId="4" fillId="5" borderId="1" xfId="0" applyNumberFormat="1" applyFon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49" fontId="4" fillId="3" borderId="1" xfId="0" applyNumberFormat="1" applyFont="1" applyFill="1" applyBorder="1" applyAlignment="1">
      <alignment horizontal="left"/>
    </xf>
    <xf numFmtId="0" fontId="10" fillId="3" borderId="1" xfId="0" applyFont="1" applyFill="1" applyBorder="1" applyAlignment="1">
      <alignment wrapText="1"/>
    </xf>
    <xf numFmtId="10" fontId="0" fillId="3" borderId="5" xfId="0" applyNumberForma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left" wrapText="1"/>
    </xf>
    <xf numFmtId="49" fontId="4" fillId="3" borderId="1" xfId="0" applyNumberFormat="1" applyFont="1" applyFill="1" applyBorder="1" applyAlignment="1">
      <alignment wrapText="1"/>
    </xf>
    <xf numFmtId="0" fontId="0" fillId="3" borderId="1" xfId="0" applyFont="1" applyFill="1" applyBorder="1" applyAlignment="1">
      <alignment horizontal="center"/>
    </xf>
    <xf numFmtId="0" fontId="12" fillId="0" borderId="4" xfId="0" applyFont="1" applyBorder="1" applyAlignment="1">
      <alignment wrapText="1"/>
    </xf>
    <xf numFmtId="165" fontId="12" fillId="0" borderId="4" xfId="0" applyNumberFormat="1" applyFont="1" applyBorder="1" applyAlignment="1">
      <alignment/>
    </xf>
    <xf numFmtId="0" fontId="12" fillId="0" borderId="12" xfId="0" applyFont="1" applyBorder="1" applyAlignment="1">
      <alignment/>
    </xf>
    <xf numFmtId="0" fontId="4" fillId="0" borderId="13" xfId="0" applyFont="1" applyBorder="1" applyAlignment="1">
      <alignment horizontal="right" wrapText="1"/>
    </xf>
    <xf numFmtId="0" fontId="10" fillId="0" borderId="13" xfId="0" applyFont="1" applyBorder="1" applyAlignment="1">
      <alignment/>
    </xf>
    <xf numFmtId="165" fontId="4" fillId="0" borderId="43" xfId="0" applyNumberFormat="1" applyFont="1" applyBorder="1" applyAlignment="1">
      <alignment/>
    </xf>
    <xf numFmtId="0" fontId="12" fillId="7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/>
    </xf>
    <xf numFmtId="49" fontId="7" fillId="7" borderId="1" xfId="0" applyNumberFormat="1" applyFont="1" applyFill="1" applyBorder="1" applyAlignment="1">
      <alignment wrapText="1"/>
    </xf>
    <xf numFmtId="0" fontId="12" fillId="0" borderId="9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wrapText="1"/>
    </xf>
    <xf numFmtId="10" fontId="10" fillId="0" borderId="1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0" fontId="4" fillId="0" borderId="5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0" fillId="3" borderId="1" xfId="0" applyFont="1" applyFill="1" applyBorder="1" applyAlignment="1">
      <alignment/>
    </xf>
    <xf numFmtId="0" fontId="0" fillId="8" borderId="1" xfId="0" applyFont="1" applyFill="1" applyBorder="1" applyAlignment="1">
      <alignment horizontal="left"/>
    </xf>
    <xf numFmtId="0" fontId="0" fillId="8" borderId="1" xfId="0" applyFont="1" applyFill="1" applyBorder="1" applyAlignment="1">
      <alignment/>
    </xf>
    <xf numFmtId="0" fontId="0" fillId="2" borderId="0" xfId="0" applyFill="1" applyBorder="1" applyAlignment="1">
      <alignment/>
    </xf>
    <xf numFmtId="0" fontId="4" fillId="8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/>
    </xf>
    <xf numFmtId="0" fontId="4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/>
    </xf>
    <xf numFmtId="0" fontId="12" fillId="0" borderId="0" xfId="0" applyFont="1" applyAlignment="1">
      <alignment/>
    </xf>
    <xf numFmtId="0" fontId="19" fillId="0" borderId="0" xfId="0" applyFont="1" applyAlignment="1">
      <alignment/>
    </xf>
    <xf numFmtId="0" fontId="16" fillId="0" borderId="51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28" xfId="0" applyBorder="1" applyAlignment="1">
      <alignment horizontal="center"/>
    </xf>
    <xf numFmtId="0" fontId="12" fillId="0" borderId="26" xfId="0" applyFont="1" applyBorder="1" applyAlignment="1">
      <alignment wrapText="1"/>
    </xf>
    <xf numFmtId="0" fontId="0" fillId="0" borderId="44" xfId="0" applyBorder="1" applyAlignment="1">
      <alignment/>
    </xf>
    <xf numFmtId="0" fontId="4" fillId="4" borderId="11" xfId="0" applyFont="1" applyFill="1" applyBorder="1" applyAlignment="1">
      <alignment horizontal="center"/>
    </xf>
    <xf numFmtId="0" fontId="4" fillId="4" borderId="42" xfId="0" applyFont="1" applyFill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12" fillId="0" borderId="51" xfId="0" applyFont="1" applyBorder="1" applyAlignment="1">
      <alignment wrapText="1"/>
    </xf>
    <xf numFmtId="0" fontId="9" fillId="0" borderId="36" xfId="0" applyFont="1" applyBorder="1" applyAlignment="1">
      <alignment/>
    </xf>
    <xf numFmtId="0" fontId="9" fillId="0" borderId="52" xfId="0" applyFont="1" applyBorder="1" applyAlignment="1">
      <alignment/>
    </xf>
    <xf numFmtId="0" fontId="9" fillId="0" borderId="26" xfId="0" applyFont="1" applyBorder="1" applyAlignment="1">
      <alignment horizontal="center"/>
    </xf>
    <xf numFmtId="0" fontId="9" fillId="0" borderId="26" xfId="0" applyFont="1" applyBorder="1" applyAlignment="1">
      <alignment/>
    </xf>
    <xf numFmtId="0" fontId="9" fillId="0" borderId="53" xfId="0" applyFont="1" applyBorder="1" applyAlignment="1">
      <alignment/>
    </xf>
    <xf numFmtId="0" fontId="9" fillId="0" borderId="29" xfId="0" applyFont="1" applyBorder="1" applyAlignment="1">
      <alignment horizontal="center"/>
    </xf>
    <xf numFmtId="0" fontId="9" fillId="0" borderId="29" xfId="0" applyFont="1" applyBorder="1" applyAlignment="1">
      <alignment/>
    </xf>
    <xf numFmtId="0" fontId="9" fillId="0" borderId="54" xfId="0" applyFont="1" applyBorder="1" applyAlignment="1">
      <alignment/>
    </xf>
    <xf numFmtId="0" fontId="12" fillId="0" borderId="28" xfId="0" applyFont="1" applyBorder="1" applyAlignment="1">
      <alignment wrapText="1"/>
    </xf>
    <xf numFmtId="0" fontId="12" fillId="0" borderId="26" xfId="0" applyFont="1" applyBorder="1" applyAlignment="1">
      <alignment horizontal="center"/>
    </xf>
    <xf numFmtId="0" fontId="12" fillId="0" borderId="53" xfId="0" applyFont="1" applyBorder="1" applyAlignment="1">
      <alignment/>
    </xf>
    <xf numFmtId="0" fontId="12" fillId="0" borderId="24" xfId="0" applyFont="1" applyBorder="1" applyAlignment="1">
      <alignment horizontal="center"/>
    </xf>
    <xf numFmtId="0" fontId="9" fillId="0" borderId="22" xfId="0" applyFont="1" applyBorder="1" applyAlignment="1">
      <alignment/>
    </xf>
    <xf numFmtId="0" fontId="9" fillId="0" borderId="55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56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10" fillId="0" borderId="11" xfId="0" applyFont="1" applyBorder="1" applyAlignment="1">
      <alignment wrapText="1"/>
    </xf>
    <xf numFmtId="10" fontId="7" fillId="0" borderId="22" xfId="0" applyNumberFormat="1" applyFont="1" applyBorder="1" applyAlignment="1">
      <alignment/>
    </xf>
    <xf numFmtId="10" fontId="7" fillId="0" borderId="55" xfId="0" applyNumberFormat="1" applyFont="1" applyBorder="1" applyAlignment="1">
      <alignment/>
    </xf>
    <xf numFmtId="10" fontId="7" fillId="0" borderId="11" xfId="0" applyNumberFormat="1" applyFont="1" applyBorder="1" applyAlignment="1">
      <alignment/>
    </xf>
    <xf numFmtId="0" fontId="7" fillId="0" borderId="57" xfId="0" applyFont="1" applyBorder="1" applyAlignment="1">
      <alignment horizontal="center"/>
    </xf>
    <xf numFmtId="0" fontId="7" fillId="0" borderId="48" xfId="0" applyFont="1" applyBorder="1" applyAlignment="1">
      <alignment wrapText="1"/>
    </xf>
    <xf numFmtId="0" fontId="7" fillId="0" borderId="11" xfId="0" applyNumberFormat="1" applyFont="1" applyBorder="1" applyAlignment="1">
      <alignment/>
    </xf>
    <xf numFmtId="0" fontId="7" fillId="0" borderId="55" xfId="0" applyNumberFormat="1" applyFont="1" applyBorder="1" applyAlignment="1">
      <alignment/>
    </xf>
    <xf numFmtId="0" fontId="7" fillId="0" borderId="22" xfId="0" applyNumberFormat="1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0" fontId="9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12" fillId="0" borderId="1" xfId="0" applyFont="1" applyFill="1" applyBorder="1" applyAlignment="1">
      <alignment wrapText="1"/>
    </xf>
    <xf numFmtId="0" fontId="9" fillId="0" borderId="1" xfId="0" applyFont="1" applyBorder="1" applyAlignment="1">
      <alignment/>
    </xf>
    <xf numFmtId="0" fontId="9" fillId="0" borderId="1" xfId="0" applyFont="1" applyFill="1" applyBorder="1" applyAlignment="1">
      <alignment/>
    </xf>
    <xf numFmtId="0" fontId="9" fillId="0" borderId="41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10" xfId="0" applyFont="1" applyBorder="1" applyAlignment="1">
      <alignment/>
    </xf>
    <xf numFmtId="0" fontId="12" fillId="0" borderId="5" xfId="0" applyFont="1" applyBorder="1" applyAlignment="1">
      <alignment wrapText="1"/>
    </xf>
    <xf numFmtId="0" fontId="7" fillId="0" borderId="1" xfId="0" applyFont="1" applyBorder="1" applyAlignment="1">
      <alignment/>
    </xf>
    <xf numFmtId="0" fontId="12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21" fillId="0" borderId="0" xfId="0" applyFont="1" applyAlignment="1">
      <alignment/>
    </xf>
    <xf numFmtId="0" fontId="9" fillId="0" borderId="0" xfId="0" applyFont="1" applyAlignment="1">
      <alignment horizontal="right" vertical="center"/>
    </xf>
    <xf numFmtId="0" fontId="4" fillId="0" borderId="4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16" fillId="0" borderId="9" xfId="0" applyFont="1" applyBorder="1" applyAlignment="1">
      <alignment horizontal="center" wrapText="1"/>
    </xf>
    <xf numFmtId="0" fontId="3" fillId="0" borderId="0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left" wrapText="1"/>
      <protection/>
    </xf>
    <xf numFmtId="0" fontId="4" fillId="6" borderId="1" xfId="0" applyFont="1" applyFill="1" applyBorder="1" applyAlignment="1">
      <alignment horizontal="left"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wrapText="1"/>
      <protection/>
    </xf>
    <xf numFmtId="0" fontId="4" fillId="6" borderId="1" xfId="0" applyFont="1" applyFill="1" applyBorder="1" applyAlignment="1">
      <alignment wrapText="1"/>
    </xf>
    <xf numFmtId="49" fontId="4" fillId="6" borderId="1" xfId="0" applyNumberFormat="1" applyFont="1" applyFill="1" applyBorder="1" applyAlignment="1">
      <alignment horizontal="left"/>
    </xf>
    <xf numFmtId="2" fontId="4" fillId="6" borderId="1" xfId="0" applyNumberFormat="1" applyFont="1" applyFill="1" applyBorder="1" applyAlignment="1">
      <alignment/>
    </xf>
    <xf numFmtId="0" fontId="8" fillId="6" borderId="1" xfId="0" applyFont="1" applyFill="1" applyBorder="1" applyAlignment="1">
      <alignment/>
    </xf>
    <xf numFmtId="49" fontId="0" fillId="6" borderId="1" xfId="0" applyNumberFormat="1" applyFill="1" applyBorder="1" applyAlignment="1">
      <alignment horizontal="left"/>
    </xf>
    <xf numFmtId="165" fontId="0" fillId="6" borderId="1" xfId="0" applyNumberFormat="1" applyFill="1" applyBorder="1" applyAlignment="1">
      <alignment/>
    </xf>
    <xf numFmtId="164" fontId="4" fillId="6" borderId="1" xfId="0" applyNumberFormat="1" applyFont="1" applyFill="1" applyBorder="1" applyAlignment="1">
      <alignment/>
    </xf>
    <xf numFmtId="10" fontId="4" fillId="6" borderId="1" xfId="0" applyNumberFormat="1" applyFont="1" applyFill="1" applyBorder="1" applyAlignment="1">
      <alignment/>
    </xf>
    <xf numFmtId="165" fontId="4" fillId="6" borderId="1" xfId="0" applyNumberFormat="1" applyFont="1" applyFill="1" applyBorder="1" applyAlignment="1">
      <alignment/>
    </xf>
    <xf numFmtId="0" fontId="0" fillId="6" borderId="1" xfId="0" applyFill="1" applyBorder="1" applyAlignment="1">
      <alignment horizontal="left"/>
    </xf>
    <xf numFmtId="0" fontId="7" fillId="6" borderId="1" xfId="0" applyFont="1" applyFill="1" applyBorder="1" applyAlignment="1">
      <alignment horizontal="left" wrapText="1"/>
    </xf>
    <xf numFmtId="0" fontId="8" fillId="6" borderId="1" xfId="0" applyFont="1" applyFill="1" applyBorder="1" applyAlignment="1">
      <alignment wrapText="1"/>
    </xf>
    <xf numFmtId="0" fontId="0" fillId="6" borderId="1" xfId="0" applyFill="1" applyBorder="1" applyAlignment="1">
      <alignment/>
    </xf>
    <xf numFmtId="0" fontId="4" fillId="6" borderId="1" xfId="0" applyNumberFormat="1" applyFont="1" applyFill="1" applyBorder="1" applyAlignment="1">
      <alignment/>
    </xf>
    <xf numFmtId="10" fontId="0" fillId="0" borderId="0" xfId="0" applyNumberFormat="1" applyFont="1" applyBorder="1" applyAlignment="1">
      <alignment/>
    </xf>
    <xf numFmtId="10" fontId="0" fillId="6" borderId="1" xfId="0" applyNumberFormat="1" applyFill="1" applyBorder="1" applyAlignment="1">
      <alignment/>
    </xf>
    <xf numFmtId="165" fontId="4" fillId="5" borderId="1" xfId="0" applyNumberFormat="1" applyFont="1" applyFill="1" applyBorder="1" applyAlignment="1">
      <alignment/>
    </xf>
    <xf numFmtId="0" fontId="5" fillId="9" borderId="1" xfId="0" applyFont="1" applyFill="1" applyBorder="1" applyAlignment="1">
      <alignment horizontal="center" vertical="center"/>
    </xf>
    <xf numFmtId="165" fontId="4" fillId="9" borderId="1" xfId="0" applyNumberFormat="1" applyFont="1" applyFill="1" applyBorder="1" applyAlignment="1">
      <alignment/>
    </xf>
    <xf numFmtId="10" fontId="4" fillId="9" borderId="1" xfId="0" applyNumberFormat="1" applyFont="1" applyFill="1" applyBorder="1" applyAlignment="1">
      <alignment/>
    </xf>
    <xf numFmtId="0" fontId="12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41" fontId="16" fillId="0" borderId="9" xfId="0" applyNumberFormat="1" applyFont="1" applyBorder="1" applyAlignment="1">
      <alignment horizontal="center"/>
    </xf>
    <xf numFmtId="41" fontId="16" fillId="0" borderId="1" xfId="0" applyNumberFormat="1" applyFont="1" applyBorder="1" applyAlignment="1">
      <alignment horizontal="center" wrapText="1"/>
    </xf>
    <xf numFmtId="41" fontId="16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 wrapText="1"/>
    </xf>
    <xf numFmtId="41" fontId="16" fillId="0" borderId="9" xfId="0" applyNumberFormat="1" applyFont="1" applyBorder="1" applyAlignment="1">
      <alignment horizontal="center" wrapText="1"/>
    </xf>
    <xf numFmtId="41" fontId="16" fillId="0" borderId="13" xfId="0" applyNumberFormat="1" applyFont="1" applyBorder="1" applyAlignment="1">
      <alignment horizontal="center"/>
    </xf>
    <xf numFmtId="41" fontId="15" fillId="0" borderId="13" xfId="0" applyNumberFormat="1" applyFont="1" applyBorder="1" applyAlignment="1">
      <alignment horizontal="center"/>
    </xf>
    <xf numFmtId="0" fontId="0" fillId="0" borderId="35" xfId="0" applyBorder="1" applyAlignment="1">
      <alignment/>
    </xf>
    <xf numFmtId="0" fontId="16" fillId="0" borderId="30" xfId="0" applyFont="1" applyBorder="1" applyAlignment="1">
      <alignment horizontal="center" wrapText="1"/>
    </xf>
    <xf numFmtId="41" fontId="16" fillId="0" borderId="33" xfId="0" applyNumberFormat="1" applyFont="1" applyBorder="1" applyAlignment="1">
      <alignment horizontal="center"/>
    </xf>
    <xf numFmtId="41" fontId="16" fillId="0" borderId="43" xfId="0" applyNumberFormat="1" applyFont="1" applyBorder="1" applyAlignment="1">
      <alignment horizontal="center"/>
    </xf>
    <xf numFmtId="41" fontId="16" fillId="0" borderId="29" xfId="0" applyNumberFormat="1" applyFont="1" applyBorder="1" applyAlignment="1">
      <alignment horizontal="center"/>
    </xf>
    <xf numFmtId="0" fontId="23" fillId="3" borderId="1" xfId="0" applyFont="1" applyFill="1" applyBorder="1" applyAlignment="1">
      <alignment/>
    </xf>
    <xf numFmtId="0" fontId="0" fillId="0" borderId="32" xfId="0" applyBorder="1" applyAlignment="1">
      <alignment horizontal="center"/>
    </xf>
    <xf numFmtId="0" fontId="0" fillId="0" borderId="58" xfId="0" applyBorder="1" applyAlignment="1">
      <alignment/>
    </xf>
    <xf numFmtId="0" fontId="10" fillId="2" borderId="42" xfId="0" applyFont="1" applyFill="1" applyBorder="1" applyAlignment="1">
      <alignment horizontal="center" vertical="center" wrapText="1"/>
    </xf>
    <xf numFmtId="0" fontId="4" fillId="0" borderId="59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15" fillId="2" borderId="50" xfId="0" applyFont="1" applyFill="1" applyBorder="1" applyAlignment="1">
      <alignment horizontal="center" vertical="center" wrapText="1"/>
    </xf>
    <xf numFmtId="0" fontId="15" fillId="2" borderId="60" xfId="0" applyFont="1" applyFill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0" fillId="2" borderId="2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61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62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63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36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12" fillId="0" borderId="0" xfId="0" applyFont="1" applyAlignment="1" applyProtection="1">
      <alignment horizontal="center" wrapText="1"/>
      <protection/>
    </xf>
    <xf numFmtId="0" fontId="10" fillId="2" borderId="2" xfId="0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0" fontId="10" fillId="2" borderId="41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49" fontId="0" fillId="0" borderId="5" xfId="0" applyNumberFormat="1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10" fillId="2" borderId="2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10" fillId="2" borderId="58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wrapText="1"/>
    </xf>
    <xf numFmtId="0" fontId="12" fillId="0" borderId="31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2" fillId="0" borderId="31" xfId="0" applyFont="1" applyBorder="1" applyAlignment="1">
      <alignment horizontal="left" wrapText="1"/>
    </xf>
    <xf numFmtId="0" fontId="12" fillId="0" borderId="34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41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4" fillId="6" borderId="1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65" xfId="0" applyFont="1" applyBorder="1" applyAlignment="1">
      <alignment horizontal="center" wrapText="1"/>
    </xf>
    <xf numFmtId="0" fontId="4" fillId="0" borderId="5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5" fillId="5" borderId="41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5" fillId="5" borderId="31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12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wrapText="1"/>
    </xf>
    <xf numFmtId="0" fontId="12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0" fillId="0" borderId="42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67" xfId="0" applyFont="1" applyBorder="1" applyAlignment="1">
      <alignment horizontal="center"/>
    </xf>
    <xf numFmtId="0" fontId="10" fillId="0" borderId="31" xfId="0" applyFont="1" applyBorder="1" applyAlignment="1">
      <alignment horizontal="center" wrapText="1"/>
    </xf>
    <xf numFmtId="0" fontId="4" fillId="0" borderId="2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4" fillId="0" borderId="3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/>
    </xf>
    <xf numFmtId="0" fontId="16" fillId="0" borderId="26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9" xfId="0" applyBorder="1" applyAlignment="1">
      <alignment/>
    </xf>
    <xf numFmtId="0" fontId="12" fillId="0" borderId="0" xfId="0" applyFont="1" applyAlignment="1">
      <alignment horizontal="center" wrapText="1"/>
    </xf>
    <xf numFmtId="0" fontId="0" fillId="0" borderId="28" xfId="0" applyBorder="1" applyAlignment="1">
      <alignment horizontal="center"/>
    </xf>
    <xf numFmtId="0" fontId="0" fillId="0" borderId="53" xfId="0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41" xfId="0" applyFont="1" applyBorder="1" applyAlignment="1">
      <alignment wrapText="1"/>
    </xf>
    <xf numFmtId="0" fontId="4" fillId="0" borderId="27" xfId="0" applyFont="1" applyBorder="1" applyAlignment="1">
      <alignment wrapText="1"/>
    </xf>
    <xf numFmtId="0" fontId="4" fillId="0" borderId="31" xfId="0" applyFont="1" applyBorder="1" applyAlignment="1">
      <alignment wrapText="1"/>
    </xf>
    <xf numFmtId="0" fontId="4" fillId="0" borderId="41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41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right" wrapText="1"/>
    </xf>
    <xf numFmtId="0" fontId="9" fillId="0" borderId="0" xfId="0" applyFont="1" applyAlignment="1">
      <alignment horizontal="center"/>
    </xf>
    <xf numFmtId="0" fontId="4" fillId="4" borderId="2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 wrapText="1"/>
    </xf>
    <xf numFmtId="0" fontId="16" fillId="4" borderId="22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/>
    </xf>
    <xf numFmtId="0" fontId="4" fillId="4" borderId="68" xfId="0" applyFont="1" applyFill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1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7" fillId="0" borderId="25" xfId="0" applyFont="1" applyBorder="1" applyAlignment="1">
      <alignment horizontal="center" vertical="center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2" borderId="62" xfId="0" applyFont="1" applyFill="1" applyBorder="1" applyAlignment="1">
      <alignment horizontal="center" wrapText="1"/>
    </xf>
    <xf numFmtId="0" fontId="4" fillId="2" borderId="61" xfId="0" applyFont="1" applyFill="1" applyBorder="1" applyAlignment="1">
      <alignment horizontal="center" wrapText="1"/>
    </xf>
    <xf numFmtId="0" fontId="4" fillId="2" borderId="51" xfId="0" applyFont="1" applyFill="1" applyBorder="1" applyAlignment="1">
      <alignment horizontal="center" vertical="center"/>
    </xf>
    <xf numFmtId="0" fontId="4" fillId="2" borderId="66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0" xfId="0" applyFont="1" applyAlignment="1">
      <alignment horizontal="center" shrinkToFit="1"/>
    </xf>
    <xf numFmtId="0" fontId="8" fillId="0" borderId="0" xfId="0" applyFont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0" fillId="0" borderId="0" xfId="0" applyFont="1" applyAlignment="1">
      <alignment horizontal="center" shrinkToFit="1"/>
    </xf>
    <xf numFmtId="0" fontId="0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0" borderId="68" xfId="0" applyBorder="1" applyAlignment="1">
      <alignment horizontal="center" wrapText="1"/>
    </xf>
    <xf numFmtId="0" fontId="4" fillId="0" borderId="42" xfId="0" applyFont="1" applyBorder="1" applyAlignment="1">
      <alignment horizontal="center" wrapText="1"/>
    </xf>
    <xf numFmtId="0" fontId="4" fillId="0" borderId="68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11" fillId="0" borderId="25" xfId="0" applyFont="1" applyBorder="1" applyAlignment="1">
      <alignment horizontal="center" vertical="center" wrapText="1"/>
    </xf>
    <xf numFmtId="0" fontId="4" fillId="0" borderId="19" xfId="0" applyFont="1" applyBorder="1" applyAlignment="1" applyProtection="1">
      <alignment horizontal="right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/>
      <protection/>
    </xf>
    <xf numFmtId="0" fontId="4" fillId="0" borderId="20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10" fillId="0" borderId="20" xfId="0" applyFont="1" applyBorder="1" applyAlignment="1" applyProtection="1">
      <alignment horizontal="center" vertical="center" wrapText="1"/>
      <protection/>
    </xf>
    <xf numFmtId="0" fontId="10" fillId="0" borderId="65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left" vertical="center" wrapText="1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70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right"/>
      <protection/>
    </xf>
    <xf numFmtId="0" fontId="4" fillId="0" borderId="1" xfId="0" applyFont="1" applyBorder="1" applyAlignment="1" applyProtection="1">
      <alignment horizontal="center"/>
      <protection/>
    </xf>
    <xf numFmtId="0" fontId="0" fillId="0" borderId="70" xfId="0" applyFont="1" applyBorder="1" applyAlignment="1" applyProtection="1">
      <alignment horizontal="center"/>
      <protection/>
    </xf>
    <xf numFmtId="0" fontId="4" fillId="6" borderId="17" xfId="0" applyFont="1" applyFill="1" applyBorder="1" applyAlignment="1">
      <alignment horizontal="right"/>
    </xf>
    <xf numFmtId="164" fontId="0" fillId="6" borderId="1" xfId="0" applyNumberFormat="1" applyFont="1" applyFill="1" applyBorder="1" applyAlignment="1">
      <alignment/>
    </xf>
    <xf numFmtId="2" fontId="0" fillId="6" borderId="1" xfId="0" applyNumberFormat="1" applyFill="1" applyBorder="1" applyAlignment="1">
      <alignment/>
    </xf>
    <xf numFmtId="10" fontId="0" fillId="6" borderId="70" xfId="0" applyNumberFormat="1" applyFont="1" applyFill="1" applyBorder="1" applyAlignment="1">
      <alignment/>
    </xf>
    <xf numFmtId="0" fontId="0" fillId="0" borderId="17" xfId="0" applyFont="1" applyBorder="1" applyAlignment="1">
      <alignment horizontal="right"/>
    </xf>
    <xf numFmtId="0" fontId="0" fillId="0" borderId="1" xfId="0" applyFont="1" applyBorder="1" applyAlignment="1">
      <alignment vertical="center" wrapText="1"/>
    </xf>
    <xf numFmtId="10" fontId="0" fillId="0" borderId="70" xfId="0" applyNumberFormat="1" applyFont="1" applyBorder="1" applyAlignment="1">
      <alignment/>
    </xf>
    <xf numFmtId="0" fontId="4" fillId="0" borderId="17" xfId="0" applyFont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1" xfId="0" applyFont="1" applyFill="1" applyBorder="1" applyAlignment="1">
      <alignment wrapText="1"/>
    </xf>
    <xf numFmtId="49" fontId="0" fillId="0" borderId="1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/>
    </xf>
    <xf numFmtId="2" fontId="0" fillId="0" borderId="1" xfId="0" applyNumberFormat="1" applyFont="1" applyFill="1" applyBorder="1" applyAlignment="1">
      <alignment/>
    </xf>
    <xf numFmtId="0" fontId="0" fillId="0" borderId="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17" xfId="0" applyFont="1" applyFill="1" applyBorder="1" applyAlignment="1">
      <alignment horizontal="right"/>
    </xf>
    <xf numFmtId="49" fontId="4" fillId="0" borderId="1" xfId="0" applyNumberFormat="1" applyFont="1" applyFill="1" applyBorder="1" applyAlignment="1">
      <alignment horizontal="left"/>
    </xf>
    <xf numFmtId="2" fontId="4" fillId="0" borderId="1" xfId="0" applyNumberFormat="1" applyFont="1" applyFill="1" applyBorder="1" applyAlignment="1">
      <alignment/>
    </xf>
    <xf numFmtId="0" fontId="4" fillId="0" borderId="1" xfId="0" applyNumberFormat="1" applyFont="1" applyFill="1" applyBorder="1" applyAlignment="1">
      <alignment/>
    </xf>
    <xf numFmtId="0" fontId="0" fillId="2" borderId="17" xfId="0" applyFont="1" applyFill="1" applyBorder="1" applyAlignment="1">
      <alignment horizontal="right"/>
    </xf>
    <xf numFmtId="0" fontId="0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left"/>
    </xf>
    <xf numFmtId="165" fontId="0" fillId="2" borderId="1" xfId="0" applyNumberFormat="1" applyFont="1" applyFill="1" applyBorder="1" applyAlignment="1">
      <alignment/>
    </xf>
    <xf numFmtId="164" fontId="0" fillId="2" borderId="1" xfId="0" applyNumberFormat="1" applyFont="1" applyFill="1" applyBorder="1" applyAlignment="1">
      <alignment/>
    </xf>
    <xf numFmtId="2" fontId="0" fillId="2" borderId="1" xfId="0" applyNumberFormat="1" applyFont="1" applyFill="1" applyBorder="1" applyAlignment="1">
      <alignment/>
    </xf>
    <xf numFmtId="10" fontId="0" fillId="2" borderId="1" xfId="0" applyNumberFormat="1" applyFont="1" applyFill="1" applyBorder="1" applyAlignment="1">
      <alignment/>
    </xf>
    <xf numFmtId="0" fontId="0" fillId="2" borderId="1" xfId="0" applyNumberFormat="1" applyFont="1" applyFill="1" applyBorder="1" applyAlignment="1">
      <alignment/>
    </xf>
    <xf numFmtId="10" fontId="0" fillId="2" borderId="70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49" fontId="0" fillId="2" borderId="1" xfId="0" applyNumberFormat="1" applyFont="1" applyFill="1" applyBorder="1" applyAlignment="1">
      <alignment horizontal="left"/>
    </xf>
    <xf numFmtId="0" fontId="0" fillId="2" borderId="31" xfId="0" applyFont="1" applyFill="1" applyBorder="1" applyAlignment="1">
      <alignment/>
    </xf>
    <xf numFmtId="0" fontId="4" fillId="2" borderId="1" xfId="0" applyFont="1" applyFill="1" applyBorder="1" applyAlignment="1">
      <alignment horizontal="left"/>
    </xf>
    <xf numFmtId="0" fontId="0" fillId="9" borderId="12" xfId="0" applyFill="1" applyBorder="1" applyAlignment="1">
      <alignment horizontal="right"/>
    </xf>
    <xf numFmtId="0" fontId="11" fillId="9" borderId="13" xfId="0" applyFont="1" applyFill="1" applyBorder="1" applyAlignment="1">
      <alignment/>
    </xf>
    <xf numFmtId="0" fontId="0" fillId="9" borderId="13" xfId="0" applyFill="1" applyBorder="1" applyAlignment="1">
      <alignment/>
    </xf>
    <xf numFmtId="165" fontId="8" fillId="9" borderId="13" xfId="0" applyNumberFormat="1" applyFont="1" applyFill="1" applyBorder="1" applyAlignment="1">
      <alignment/>
    </xf>
    <xf numFmtId="164" fontId="8" fillId="9" borderId="13" xfId="0" applyNumberFormat="1" applyFont="1" applyFill="1" applyBorder="1" applyAlignment="1">
      <alignment/>
    </xf>
    <xf numFmtId="2" fontId="4" fillId="9" borderId="13" xfId="0" applyNumberFormat="1" applyFont="1" applyFill="1" applyBorder="1" applyAlignment="1">
      <alignment/>
    </xf>
    <xf numFmtId="10" fontId="4" fillId="9" borderId="13" xfId="0" applyNumberFormat="1" applyFont="1" applyFill="1" applyBorder="1" applyAlignment="1">
      <alignment/>
    </xf>
    <xf numFmtId="0" fontId="4" fillId="9" borderId="13" xfId="0" applyFont="1" applyFill="1" applyBorder="1" applyAlignment="1">
      <alignment/>
    </xf>
    <xf numFmtId="0" fontId="4" fillId="9" borderId="13" xfId="0" applyNumberFormat="1" applyFont="1" applyFill="1" applyBorder="1" applyAlignment="1">
      <alignment/>
    </xf>
    <xf numFmtId="10" fontId="0" fillId="9" borderId="43" xfId="0" applyNumberFormat="1" applyFont="1" applyFill="1" applyBorder="1" applyAlignment="1">
      <alignment/>
    </xf>
    <xf numFmtId="0" fontId="0" fillId="0" borderId="16" xfId="0" applyBorder="1" applyAlignment="1">
      <alignment horizontal="right"/>
    </xf>
    <xf numFmtId="0" fontId="0" fillId="0" borderId="5" xfId="0" applyBorder="1" applyAlignment="1">
      <alignment/>
    </xf>
    <xf numFmtId="10" fontId="0" fillId="0" borderId="71" xfId="0" applyNumberFormat="1" applyFont="1" applyBorder="1" applyAlignment="1">
      <alignment/>
    </xf>
    <xf numFmtId="49" fontId="0" fillId="0" borderId="1" xfId="0" applyNumberFormat="1" applyBorder="1" applyAlignment="1">
      <alignment/>
    </xf>
    <xf numFmtId="49" fontId="0" fillId="0" borderId="1" xfId="0" applyNumberFormat="1" applyBorder="1" applyAlignment="1">
      <alignment horizontal="left" wrapText="1"/>
    </xf>
    <xf numFmtId="0" fontId="0" fillId="0" borderId="21" xfId="0" applyBorder="1" applyAlignment="1">
      <alignment horizontal="left"/>
    </xf>
    <xf numFmtId="10" fontId="0" fillId="0" borderId="72" xfId="0" applyNumberFormat="1" applyFont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8" xfId="0" applyFont="1" applyBorder="1" applyAlignment="1">
      <alignment horizontal="right"/>
    </xf>
    <xf numFmtId="0" fontId="12" fillId="0" borderId="21" xfId="0" applyFont="1" applyBorder="1" applyAlignment="1">
      <alignment wrapText="1"/>
    </xf>
    <xf numFmtId="0" fontId="4" fillId="0" borderId="21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165" fontId="0" fillId="0" borderId="21" xfId="0" applyNumberFormat="1" applyFont="1" applyBorder="1" applyAlignment="1">
      <alignment/>
    </xf>
    <xf numFmtId="164" fontId="0" fillId="0" borderId="21" xfId="0" applyNumberFormat="1" applyFont="1" applyBorder="1" applyAlignment="1">
      <alignment/>
    </xf>
    <xf numFmtId="2" fontId="0" fillId="0" borderId="21" xfId="0" applyNumberFormat="1" applyFont="1" applyBorder="1" applyAlignment="1">
      <alignment/>
    </xf>
    <xf numFmtId="10" fontId="0" fillId="0" borderId="21" xfId="0" applyNumberFormat="1" applyFont="1" applyBorder="1" applyAlignment="1">
      <alignment/>
    </xf>
    <xf numFmtId="0" fontId="0" fillId="0" borderId="21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232"/>
  <sheetViews>
    <sheetView workbookViewId="0" topLeftCell="A2">
      <selection activeCell="V21" sqref="V21"/>
    </sheetView>
  </sheetViews>
  <sheetFormatPr defaultColWidth="9.00390625" defaultRowHeight="12.75"/>
  <cols>
    <col min="1" max="1" width="4.375" style="104" customWidth="1"/>
    <col min="2" max="2" width="30.25390625" style="0" customWidth="1"/>
    <col min="3" max="3" width="6.75390625" style="0" customWidth="1"/>
    <col min="4" max="4" width="8.375" style="0" customWidth="1"/>
    <col min="5" max="5" width="7.625" style="0" customWidth="1"/>
    <col min="6" max="6" width="0.12890625" style="0" hidden="1" customWidth="1"/>
    <col min="7" max="7" width="11.75390625" style="0" hidden="1" customWidth="1"/>
    <col min="8" max="8" width="8.25390625" style="0" hidden="1" customWidth="1"/>
    <col min="9" max="9" width="9.375" style="0" hidden="1" customWidth="1"/>
    <col min="10" max="10" width="1.12109375" style="0" hidden="1" customWidth="1"/>
    <col min="11" max="11" width="12.00390625" style="0" hidden="1" customWidth="1"/>
    <col min="12" max="12" width="0.12890625" style="0" hidden="1" customWidth="1"/>
    <col min="13" max="13" width="13.375" style="0" hidden="1" customWidth="1"/>
    <col min="14" max="14" width="10.875" style="0" hidden="1" customWidth="1"/>
    <col min="15" max="15" width="10.75390625" style="0" hidden="1" customWidth="1"/>
    <col min="16" max="16" width="11.00390625" style="0" hidden="1" customWidth="1"/>
    <col min="17" max="17" width="10.875" style="0" hidden="1" customWidth="1"/>
    <col min="18" max="18" width="3.00390625" style="0" hidden="1" customWidth="1"/>
    <col min="19" max="19" width="13.00390625" style="0" customWidth="1"/>
    <col min="20" max="20" width="11.375" style="0" customWidth="1"/>
  </cols>
  <sheetData>
    <row r="1" ht="12.75" hidden="1"/>
    <row r="2" spans="1:20" s="263" customFormat="1" ht="12.75" customHeight="1">
      <c r="A2" s="272"/>
      <c r="C2" s="516" t="s">
        <v>262</v>
      </c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  <c r="O2" s="516"/>
      <c r="P2" s="516"/>
      <c r="Q2" s="516"/>
      <c r="R2" s="516"/>
      <c r="S2" s="516"/>
      <c r="T2" s="516"/>
    </row>
    <row r="3" spans="1:20" s="263" customFormat="1" ht="12.75" customHeight="1">
      <c r="A3" s="272"/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  <c r="Q3" s="516"/>
      <c r="R3" s="516"/>
      <c r="S3" s="516"/>
      <c r="T3" s="516"/>
    </row>
    <row r="4" spans="1:20" s="263" customFormat="1" ht="12" customHeight="1">
      <c r="A4" s="272"/>
      <c r="E4" s="432"/>
      <c r="F4" s="432"/>
      <c r="G4" s="432"/>
      <c r="H4" s="432"/>
      <c r="I4" s="432"/>
      <c r="J4" s="432"/>
      <c r="K4" s="432"/>
      <c r="L4" s="432"/>
      <c r="M4" s="432"/>
      <c r="N4" s="432"/>
      <c r="O4" s="432"/>
      <c r="P4" s="432"/>
      <c r="Q4" s="432"/>
      <c r="R4" s="432"/>
      <c r="T4" s="438"/>
    </row>
    <row r="5" s="263" customFormat="1" ht="21.75" customHeight="1" hidden="1">
      <c r="A5" s="272"/>
    </row>
    <row r="6" spans="1:20" s="263" customFormat="1" ht="1.5" customHeight="1" hidden="1">
      <c r="A6" s="431" t="s">
        <v>750</v>
      </c>
      <c r="B6" s="431"/>
      <c r="C6" s="431"/>
      <c r="D6" s="431"/>
      <c r="E6" s="431"/>
      <c r="F6" s="431"/>
      <c r="G6" s="431"/>
      <c r="H6" s="431"/>
      <c r="I6" s="431"/>
      <c r="J6" s="431"/>
      <c r="K6" s="431"/>
      <c r="L6" s="431"/>
      <c r="M6" s="431"/>
      <c r="N6" s="431"/>
      <c r="O6" s="431"/>
      <c r="P6" s="431"/>
      <c r="Q6" s="431"/>
      <c r="R6" s="431"/>
      <c r="S6" s="431"/>
      <c r="T6" s="431"/>
    </row>
    <row r="7" spans="1:20" s="263" customFormat="1" ht="9.75" customHeight="1" hidden="1">
      <c r="A7" s="431"/>
      <c r="B7" s="431"/>
      <c r="C7" s="431"/>
      <c r="D7" s="431"/>
      <c r="E7" s="431"/>
      <c r="F7" s="431"/>
      <c r="G7" s="431"/>
      <c r="H7" s="431"/>
      <c r="I7" s="431"/>
      <c r="J7" s="431"/>
      <c r="K7" s="431"/>
      <c r="L7" s="431"/>
      <c r="M7" s="431"/>
      <c r="N7" s="431"/>
      <c r="O7" s="431"/>
      <c r="P7" s="431"/>
      <c r="Q7" s="431"/>
      <c r="R7" s="431"/>
      <c r="S7" s="431"/>
      <c r="T7" s="431"/>
    </row>
    <row r="8" spans="1:20" s="263" customFormat="1" ht="0.75" customHeight="1" hidden="1">
      <c r="A8" s="431"/>
      <c r="B8" s="431"/>
      <c r="C8" s="431"/>
      <c r="D8" s="431"/>
      <c r="E8" s="431"/>
      <c r="F8" s="431"/>
      <c r="G8" s="431"/>
      <c r="H8" s="431"/>
      <c r="I8" s="431"/>
      <c r="J8" s="431"/>
      <c r="K8" s="431"/>
      <c r="L8" s="431"/>
      <c r="M8" s="431"/>
      <c r="N8" s="431"/>
      <c r="O8" s="431"/>
      <c r="P8" s="431"/>
      <c r="Q8" s="431"/>
      <c r="R8" s="431"/>
      <c r="S8" s="431"/>
      <c r="T8" s="431"/>
    </row>
    <row r="9" spans="1:20" s="263" customFormat="1" ht="9.75" customHeight="1" hidden="1">
      <c r="A9" s="431"/>
      <c r="B9" s="431"/>
      <c r="C9" s="431"/>
      <c r="D9" s="431"/>
      <c r="E9" s="431"/>
      <c r="F9" s="431"/>
      <c r="G9" s="431"/>
      <c r="H9" s="431"/>
      <c r="I9" s="431"/>
      <c r="J9" s="431"/>
      <c r="K9" s="431"/>
      <c r="L9" s="431"/>
      <c r="M9" s="431"/>
      <c r="N9" s="431"/>
      <c r="O9" s="431"/>
      <c r="P9" s="431"/>
      <c r="Q9" s="431"/>
      <c r="R9" s="431"/>
      <c r="S9" s="431"/>
      <c r="T9" s="431"/>
    </row>
    <row r="10" spans="1:20" s="434" customFormat="1" ht="24" customHeight="1">
      <c r="A10" s="437" t="s">
        <v>963</v>
      </c>
      <c r="B10" s="436"/>
      <c r="C10" s="435"/>
      <c r="D10" s="435"/>
      <c r="E10" s="435"/>
      <c r="F10" s="435"/>
      <c r="G10" s="435"/>
      <c r="H10" s="435"/>
      <c r="I10" s="435"/>
      <c r="J10" s="435"/>
      <c r="K10" s="435"/>
      <c r="L10" s="435"/>
      <c r="M10" s="435"/>
      <c r="N10" s="435"/>
      <c r="O10" s="435"/>
      <c r="P10" s="435"/>
      <c r="Q10" s="435"/>
      <c r="R10" s="435"/>
      <c r="S10" s="435"/>
      <c r="T10" s="435"/>
    </row>
    <row r="11" spans="1:20" s="263" customFormat="1" ht="8.25" customHeight="1" thickBot="1">
      <c r="A11" s="431"/>
      <c r="B11" s="431"/>
      <c r="C11" s="431"/>
      <c r="D11" s="431"/>
      <c r="E11" s="431"/>
      <c r="F11" s="431"/>
      <c r="G11" s="431"/>
      <c r="H11" s="431"/>
      <c r="I11" s="431"/>
      <c r="J11" s="431"/>
      <c r="K11" s="431"/>
      <c r="L11" s="431"/>
      <c r="M11" s="431"/>
      <c r="N11" s="431"/>
      <c r="O11" s="431"/>
      <c r="P11" s="431"/>
      <c r="Q11" s="431"/>
      <c r="R11" s="431"/>
      <c r="S11" s="431"/>
      <c r="T11" s="431"/>
    </row>
    <row r="12" spans="1:20" s="263" customFormat="1" ht="13.5" customHeight="1">
      <c r="A12" s="662" t="s">
        <v>675</v>
      </c>
      <c r="B12" s="663" t="s">
        <v>246</v>
      </c>
      <c r="C12" s="663" t="s">
        <v>592</v>
      </c>
      <c r="D12" s="663"/>
      <c r="E12" s="663"/>
      <c r="F12" s="664"/>
      <c r="G12" s="664"/>
      <c r="H12" s="664"/>
      <c r="I12" s="664"/>
      <c r="J12" s="665"/>
      <c r="K12" s="666"/>
      <c r="L12" s="666"/>
      <c r="M12" s="663" t="s">
        <v>678</v>
      </c>
      <c r="N12" s="667" t="s">
        <v>29</v>
      </c>
      <c r="O12" s="667"/>
      <c r="P12" s="668" t="s">
        <v>100</v>
      </c>
      <c r="Q12" s="669" t="s">
        <v>237</v>
      </c>
      <c r="R12" s="669" t="s">
        <v>238</v>
      </c>
      <c r="S12" s="668" t="s">
        <v>697</v>
      </c>
      <c r="T12" s="670" t="s">
        <v>606</v>
      </c>
    </row>
    <row r="13" spans="1:21" s="263" customFormat="1" ht="18.75" customHeight="1">
      <c r="A13" s="671"/>
      <c r="B13" s="672"/>
      <c r="C13" s="672"/>
      <c r="D13" s="672"/>
      <c r="E13" s="672"/>
      <c r="F13" s="673" t="s">
        <v>841</v>
      </c>
      <c r="G13" s="674" t="s">
        <v>251</v>
      </c>
      <c r="H13" s="674" t="s">
        <v>842</v>
      </c>
      <c r="I13" s="266" t="s">
        <v>843</v>
      </c>
      <c r="J13" s="264"/>
      <c r="K13" s="674" t="s">
        <v>844</v>
      </c>
      <c r="L13" s="674" t="s">
        <v>845</v>
      </c>
      <c r="M13" s="672"/>
      <c r="N13" s="674" t="s">
        <v>27</v>
      </c>
      <c r="O13" s="674" t="s">
        <v>28</v>
      </c>
      <c r="P13" s="674"/>
      <c r="Q13" s="675"/>
      <c r="R13" s="675"/>
      <c r="S13" s="674"/>
      <c r="T13" s="676"/>
      <c r="U13" s="729"/>
    </row>
    <row r="14" spans="1:21" s="263" customFormat="1" ht="7.5" customHeight="1">
      <c r="A14" s="671"/>
      <c r="B14" s="672"/>
      <c r="C14" s="672"/>
      <c r="D14" s="672"/>
      <c r="E14" s="672"/>
      <c r="F14" s="673"/>
      <c r="G14" s="674"/>
      <c r="H14" s="674"/>
      <c r="I14" s="674" t="s">
        <v>846</v>
      </c>
      <c r="J14" s="267"/>
      <c r="K14" s="674"/>
      <c r="L14" s="674"/>
      <c r="M14" s="672"/>
      <c r="N14" s="674"/>
      <c r="O14" s="674"/>
      <c r="P14" s="674"/>
      <c r="Q14" s="675"/>
      <c r="R14" s="675"/>
      <c r="S14" s="674"/>
      <c r="T14" s="676"/>
      <c r="U14" s="729"/>
    </row>
    <row r="15" spans="1:20" s="729" customFormat="1" ht="19.5" customHeight="1">
      <c r="A15" s="671"/>
      <c r="B15" s="264" t="s">
        <v>847</v>
      </c>
      <c r="C15" s="264" t="s">
        <v>848</v>
      </c>
      <c r="D15" s="268" t="s">
        <v>598</v>
      </c>
      <c r="E15" s="264" t="s">
        <v>248</v>
      </c>
      <c r="F15" s="673"/>
      <c r="G15" s="674"/>
      <c r="H15" s="674"/>
      <c r="I15" s="674"/>
      <c r="J15" s="269"/>
      <c r="K15" s="674"/>
      <c r="L15" s="674"/>
      <c r="M15" s="672"/>
      <c r="N15" s="674"/>
      <c r="O15" s="674"/>
      <c r="P15" s="674"/>
      <c r="Q15" s="675"/>
      <c r="R15" s="675"/>
      <c r="S15" s="674"/>
      <c r="T15" s="676"/>
    </row>
    <row r="16" spans="1:20" s="729" customFormat="1" ht="12.75">
      <c r="A16" s="677">
        <v>1</v>
      </c>
      <c r="B16" s="678">
        <v>2</v>
      </c>
      <c r="C16" s="678">
        <v>3</v>
      </c>
      <c r="D16" s="678">
        <v>4</v>
      </c>
      <c r="E16" s="678">
        <v>5</v>
      </c>
      <c r="F16" s="678">
        <v>6</v>
      </c>
      <c r="G16" s="678">
        <v>6</v>
      </c>
      <c r="H16" s="678">
        <v>8</v>
      </c>
      <c r="I16" s="678">
        <v>9</v>
      </c>
      <c r="J16" s="265"/>
      <c r="K16" s="678">
        <v>7</v>
      </c>
      <c r="L16" s="678">
        <v>8</v>
      </c>
      <c r="M16" s="678">
        <v>6</v>
      </c>
      <c r="N16" s="678">
        <v>7</v>
      </c>
      <c r="O16" s="678">
        <v>8</v>
      </c>
      <c r="P16" s="678">
        <v>6</v>
      </c>
      <c r="Q16" s="678">
        <v>7</v>
      </c>
      <c r="R16" s="678">
        <v>8</v>
      </c>
      <c r="S16" s="678">
        <v>7</v>
      </c>
      <c r="T16" s="679">
        <v>10</v>
      </c>
    </row>
    <row r="17" spans="1:25" ht="17.25" customHeight="1">
      <c r="A17" s="680" t="s">
        <v>687</v>
      </c>
      <c r="B17" s="366" t="s">
        <v>849</v>
      </c>
      <c r="C17" s="440" t="s">
        <v>258</v>
      </c>
      <c r="D17" s="448"/>
      <c r="E17" s="448"/>
      <c r="F17" s="444" t="e">
        <f>F18+#REF!</f>
        <v>#REF!</v>
      </c>
      <c r="G17" s="681" t="e">
        <f>G18+#REF!</f>
        <v>#REF!</v>
      </c>
      <c r="H17" s="682" t="e">
        <f>IF(F17&gt;0,G17/F17*100,"")</f>
        <v>#REF!</v>
      </c>
      <c r="I17" s="454" t="e">
        <f>F17/F81</f>
        <v>#REF!</v>
      </c>
      <c r="J17" s="451"/>
      <c r="K17" s="451" t="e">
        <f>K18+#REF!</f>
        <v>#REF!</v>
      </c>
      <c r="L17" s="451" t="e">
        <f>L18+#REF!</f>
        <v>#REF!</v>
      </c>
      <c r="M17" s="366" t="e">
        <f>M18+#REF!+#REF!</f>
        <v>#REF!</v>
      </c>
      <c r="N17" s="366" t="e">
        <f>N18+#REF!+#REF!</f>
        <v>#REF!</v>
      </c>
      <c r="O17" s="366" t="e">
        <f>O18+#REF!+#REF!</f>
        <v>#REF!</v>
      </c>
      <c r="P17" s="366" t="e">
        <f>P18+#REF!+#REF!</f>
        <v>#REF!</v>
      </c>
      <c r="Q17" s="366" t="e">
        <f>Q18+#REF!+#REF!</f>
        <v>#REF!</v>
      </c>
      <c r="R17" s="366" t="e">
        <f>R18+#REF!+#REF!</f>
        <v>#REF!</v>
      </c>
      <c r="S17" s="366">
        <f>S18+S22</f>
        <v>30400</v>
      </c>
      <c r="T17" s="683">
        <f>S17/$S$214</f>
        <v>0.0009459474429111384</v>
      </c>
      <c r="U17" s="41"/>
      <c r="V17" s="41"/>
      <c r="W17" s="41"/>
      <c r="X17" s="41"/>
      <c r="Y17" s="41"/>
    </row>
    <row r="18" spans="1:20" ht="27" customHeight="1">
      <c r="A18" s="684" t="s">
        <v>850</v>
      </c>
      <c r="B18" s="685" t="s">
        <v>605</v>
      </c>
      <c r="C18" s="33"/>
      <c r="D18" s="18" t="s">
        <v>305</v>
      </c>
      <c r="E18" s="8"/>
      <c r="F18" s="5">
        <v>0</v>
      </c>
      <c r="G18" s="114">
        <v>37400</v>
      </c>
      <c r="H18" s="110">
        <f>IF(F18&gt;0,G18/F18*100,"")</f>
      </c>
      <c r="I18" s="6">
        <f>F18/F81</f>
        <v>0</v>
      </c>
      <c r="J18" s="8"/>
      <c r="K18" s="8">
        <v>0</v>
      </c>
      <c r="L18" s="8">
        <v>0</v>
      </c>
      <c r="M18" s="8">
        <v>44000</v>
      </c>
      <c r="N18" s="8">
        <v>0</v>
      </c>
      <c r="O18" s="8">
        <v>0</v>
      </c>
      <c r="P18" s="8">
        <v>45000</v>
      </c>
      <c r="Q18" s="8">
        <v>0</v>
      </c>
      <c r="R18" s="8">
        <v>0</v>
      </c>
      <c r="S18" s="8">
        <f>S21</f>
        <v>30000</v>
      </c>
      <c r="T18" s="686">
        <f>S21/$S$214</f>
        <v>0.0009335007660307286</v>
      </c>
    </row>
    <row r="19" spans="1:20" ht="18" customHeight="1" hidden="1">
      <c r="A19" s="687" t="s">
        <v>850</v>
      </c>
      <c r="B19" s="7" t="s">
        <v>268</v>
      </c>
      <c r="C19" s="27"/>
      <c r="D19" s="27" t="s">
        <v>261</v>
      </c>
      <c r="E19" s="27"/>
      <c r="F19" s="9">
        <f>F20</f>
        <v>990</v>
      </c>
      <c r="G19" s="111">
        <f>G20</f>
        <v>550</v>
      </c>
      <c r="H19" s="108">
        <f>IF(F19&gt;0,G19/F19*100,"")</f>
        <v>55.55555555555556</v>
      </c>
      <c r="I19" s="10" t="e">
        <f>F19/F214</f>
        <v>#REF!</v>
      </c>
      <c r="J19" s="7"/>
      <c r="K19" s="7">
        <f aca="true" t="shared" si="0" ref="K19:S19">K20</f>
        <v>0</v>
      </c>
      <c r="L19" s="7">
        <f t="shared" si="0"/>
        <v>0</v>
      </c>
      <c r="M19" s="7">
        <f t="shared" si="0"/>
        <v>220</v>
      </c>
      <c r="N19" s="7">
        <f t="shared" si="0"/>
        <v>0</v>
      </c>
      <c r="O19" s="7">
        <f t="shared" si="0"/>
        <v>0</v>
      </c>
      <c r="P19" s="121">
        <f t="shared" si="0"/>
        <v>100</v>
      </c>
      <c r="Q19" s="121">
        <f t="shared" si="0"/>
        <v>0</v>
      </c>
      <c r="R19" s="121">
        <f t="shared" si="0"/>
        <v>0</v>
      </c>
      <c r="S19" s="121">
        <f t="shared" si="0"/>
        <v>0</v>
      </c>
      <c r="T19" s="686">
        <f>S22/$S$214</f>
        <v>1.2446676880409715E-05</v>
      </c>
    </row>
    <row r="20" spans="1:20" ht="15" customHeight="1" hidden="1">
      <c r="A20" s="684"/>
      <c r="B20" s="29" t="s">
        <v>858</v>
      </c>
      <c r="C20" s="18"/>
      <c r="D20" s="18"/>
      <c r="E20" s="18" t="s">
        <v>101</v>
      </c>
      <c r="F20" s="5">
        <v>990</v>
      </c>
      <c r="G20" s="114">
        <v>550</v>
      </c>
      <c r="H20" s="110">
        <f>IF(F20&gt;0,G20/F20*100,"")</f>
        <v>55.55555555555556</v>
      </c>
      <c r="I20" s="6" t="e">
        <f>F20/F214</f>
        <v>#REF!</v>
      </c>
      <c r="J20" s="8"/>
      <c r="K20" s="8">
        <v>0</v>
      </c>
      <c r="L20" s="8">
        <v>0</v>
      </c>
      <c r="M20" s="8">
        <v>220</v>
      </c>
      <c r="N20" s="8">
        <v>0</v>
      </c>
      <c r="O20" s="8">
        <v>0</v>
      </c>
      <c r="P20" s="8">
        <v>100</v>
      </c>
      <c r="Q20" s="8">
        <v>0</v>
      </c>
      <c r="R20" s="8">
        <v>0</v>
      </c>
      <c r="S20" s="8">
        <v>0</v>
      </c>
      <c r="T20" s="686">
        <f>S23/$S$214</f>
        <v>1.2446676880409715E-05</v>
      </c>
    </row>
    <row r="21" spans="1:20" ht="15" customHeight="1">
      <c r="A21" s="684"/>
      <c r="B21" s="29"/>
      <c r="C21" s="18"/>
      <c r="D21" s="18"/>
      <c r="E21" s="33">
        <v>2110</v>
      </c>
      <c r="F21" s="5"/>
      <c r="G21" s="114"/>
      <c r="H21" s="110"/>
      <c r="I21" s="6"/>
      <c r="J21" s="8"/>
      <c r="K21" s="8"/>
      <c r="L21" s="8"/>
      <c r="M21" s="8"/>
      <c r="N21" s="8"/>
      <c r="O21" s="8"/>
      <c r="P21" s="8"/>
      <c r="Q21" s="8"/>
      <c r="R21" s="8"/>
      <c r="S21" s="8">
        <v>30000</v>
      </c>
      <c r="T21" s="686">
        <f>S24/$S$214</f>
        <v>0.0043924011544043875</v>
      </c>
    </row>
    <row r="22" spans="1:20" s="107" customFormat="1" ht="17.25" customHeight="1">
      <c r="A22" s="684" t="s">
        <v>860</v>
      </c>
      <c r="B22" s="29" t="s">
        <v>357</v>
      </c>
      <c r="C22" s="31"/>
      <c r="D22" s="31" t="s">
        <v>861</v>
      </c>
      <c r="E22" s="31"/>
      <c r="F22" s="102">
        <f>F23</f>
        <v>400</v>
      </c>
      <c r="G22" s="114">
        <f>G23</f>
        <v>400</v>
      </c>
      <c r="H22" s="115">
        <f>IF(F22&gt;0,G22/F22*100,"")</f>
        <v>100</v>
      </c>
      <c r="I22" s="116" t="e">
        <f>F22/F214</f>
        <v>#REF!</v>
      </c>
      <c r="J22" s="20"/>
      <c r="K22" s="20">
        <f aca="true" t="shared" si="1" ref="K22:S22">K23</f>
        <v>0</v>
      </c>
      <c r="L22" s="20">
        <f t="shared" si="1"/>
        <v>0</v>
      </c>
      <c r="M22" s="20">
        <f t="shared" si="1"/>
        <v>300</v>
      </c>
      <c r="N22" s="20">
        <f t="shared" si="1"/>
        <v>0</v>
      </c>
      <c r="O22" s="20">
        <f t="shared" si="1"/>
        <v>0</v>
      </c>
      <c r="P22" s="255">
        <f t="shared" si="1"/>
        <v>600</v>
      </c>
      <c r="Q22" s="255">
        <f t="shared" si="1"/>
        <v>0</v>
      </c>
      <c r="R22" s="255">
        <f t="shared" si="1"/>
        <v>0</v>
      </c>
      <c r="S22" s="255">
        <f t="shared" si="1"/>
        <v>400</v>
      </c>
      <c r="T22" s="686">
        <f>S25/$S$214</f>
        <v>0.0043924011544043875</v>
      </c>
    </row>
    <row r="23" spans="1:20" ht="16.5" customHeight="1">
      <c r="A23" s="195"/>
      <c r="B23" s="8" t="s">
        <v>862</v>
      </c>
      <c r="C23" s="18"/>
      <c r="D23" s="18"/>
      <c r="E23" s="18" t="s">
        <v>102</v>
      </c>
      <c r="F23" s="5">
        <v>400</v>
      </c>
      <c r="G23" s="112">
        <v>400</v>
      </c>
      <c r="H23" s="110">
        <f>IF(F23&gt;0,G23/F23*100,"")</f>
        <v>100</v>
      </c>
      <c r="I23" s="6" t="e">
        <f>F23/F214</f>
        <v>#REF!</v>
      </c>
      <c r="J23" s="8"/>
      <c r="K23" s="8">
        <v>0</v>
      </c>
      <c r="L23" s="8">
        <v>0</v>
      </c>
      <c r="M23" s="8">
        <v>300</v>
      </c>
      <c r="N23" s="8">
        <v>0</v>
      </c>
      <c r="O23" s="8">
        <v>0</v>
      </c>
      <c r="P23" s="8">
        <v>600</v>
      </c>
      <c r="Q23" s="8">
        <v>0</v>
      </c>
      <c r="R23" s="8">
        <v>0</v>
      </c>
      <c r="S23" s="8">
        <v>400</v>
      </c>
      <c r="T23" s="686">
        <f aca="true" t="shared" si="2" ref="T23:T86">S23/$S$214</f>
        <v>1.2446676880409715E-05</v>
      </c>
    </row>
    <row r="24" spans="1:20" s="270" customFormat="1" ht="15.75" customHeight="1">
      <c r="A24" s="680" t="s">
        <v>688</v>
      </c>
      <c r="B24" s="439" t="s">
        <v>911</v>
      </c>
      <c r="C24" s="440" t="s">
        <v>306</v>
      </c>
      <c r="D24" s="440"/>
      <c r="E24" s="440"/>
      <c r="F24" s="366"/>
      <c r="G24" s="366"/>
      <c r="H24" s="441"/>
      <c r="I24" s="441"/>
      <c r="J24" s="366"/>
      <c r="K24" s="366"/>
      <c r="L24" s="366"/>
      <c r="M24" s="366"/>
      <c r="N24" s="366"/>
      <c r="O24" s="366"/>
      <c r="P24" s="452"/>
      <c r="Q24" s="452"/>
      <c r="R24" s="452"/>
      <c r="S24" s="452">
        <f>S25</f>
        <v>141159</v>
      </c>
      <c r="T24" s="683">
        <f t="shared" si="2"/>
        <v>0.0043924011544043875</v>
      </c>
    </row>
    <row r="25" spans="1:20" s="694" customFormat="1" ht="15.75" customHeight="1">
      <c r="A25" s="688" t="s">
        <v>850</v>
      </c>
      <c r="B25" s="689" t="s">
        <v>81</v>
      </c>
      <c r="C25" s="690"/>
      <c r="D25" s="690" t="s">
        <v>82</v>
      </c>
      <c r="E25" s="690"/>
      <c r="F25" s="691"/>
      <c r="G25" s="691"/>
      <c r="H25" s="692"/>
      <c r="I25" s="692"/>
      <c r="J25" s="691"/>
      <c r="K25" s="691"/>
      <c r="L25" s="691"/>
      <c r="M25" s="691"/>
      <c r="N25" s="691"/>
      <c r="O25" s="691"/>
      <c r="P25" s="693"/>
      <c r="Q25" s="693"/>
      <c r="R25" s="693"/>
      <c r="S25" s="693">
        <f>S26</f>
        <v>141159</v>
      </c>
      <c r="T25" s="686">
        <f t="shared" si="2"/>
        <v>0.0043924011544043875</v>
      </c>
    </row>
    <row r="26" spans="1:20" s="270" customFormat="1" ht="24" customHeight="1">
      <c r="A26" s="695"/>
      <c r="B26" s="412" t="s">
        <v>624</v>
      </c>
      <c r="C26" s="696"/>
      <c r="D26" s="696"/>
      <c r="E26" s="690" t="s">
        <v>109</v>
      </c>
      <c r="F26" s="271"/>
      <c r="G26" s="271"/>
      <c r="H26" s="697"/>
      <c r="I26" s="697"/>
      <c r="J26" s="271"/>
      <c r="K26" s="271"/>
      <c r="L26" s="271"/>
      <c r="M26" s="271"/>
      <c r="N26" s="271"/>
      <c r="O26" s="271"/>
      <c r="P26" s="698"/>
      <c r="Q26" s="698"/>
      <c r="R26" s="698"/>
      <c r="S26" s="698">
        <v>141159</v>
      </c>
      <c r="T26" s="686">
        <f t="shared" si="2"/>
        <v>0.0043924011544043875</v>
      </c>
    </row>
    <row r="27" spans="1:20" ht="18" customHeight="1">
      <c r="A27" s="680" t="s">
        <v>690</v>
      </c>
      <c r="B27" s="366" t="s">
        <v>864</v>
      </c>
      <c r="C27" s="440" t="s">
        <v>310</v>
      </c>
      <c r="D27" s="440"/>
      <c r="E27" s="440"/>
      <c r="F27" s="447">
        <f>F28</f>
        <v>42000</v>
      </c>
      <c r="G27" s="445">
        <f>G28</f>
        <v>32000</v>
      </c>
      <c r="H27" s="441">
        <f>IF(F27&gt;0,G27/F27*100,"")</f>
        <v>76.19047619047619</v>
      </c>
      <c r="I27" s="446" t="e">
        <f>F27/F214</f>
        <v>#REF!</v>
      </c>
      <c r="J27" s="366"/>
      <c r="K27" s="366">
        <f aca="true" t="shared" si="3" ref="K27:S27">K28</f>
        <v>0</v>
      </c>
      <c r="L27" s="366">
        <f t="shared" si="3"/>
        <v>0</v>
      </c>
      <c r="M27" s="366">
        <f t="shared" si="3"/>
        <v>17000</v>
      </c>
      <c r="N27" s="366">
        <f t="shared" si="3"/>
        <v>0</v>
      </c>
      <c r="O27" s="366">
        <f t="shared" si="3"/>
        <v>0</v>
      </c>
      <c r="P27" s="452">
        <f t="shared" si="3"/>
        <v>5000</v>
      </c>
      <c r="Q27" s="452">
        <f t="shared" si="3"/>
        <v>0</v>
      </c>
      <c r="R27" s="452">
        <f t="shared" si="3"/>
        <v>0</v>
      </c>
      <c r="S27" s="452">
        <f t="shared" si="3"/>
        <v>2386460</v>
      </c>
      <c r="T27" s="683">
        <f t="shared" si="2"/>
        <v>0.07425874127005642</v>
      </c>
    </row>
    <row r="28" spans="1:20" s="107" customFormat="1" ht="18.75" customHeight="1">
      <c r="A28" s="684" t="s">
        <v>850</v>
      </c>
      <c r="B28" s="20" t="s">
        <v>865</v>
      </c>
      <c r="C28" s="31"/>
      <c r="D28" s="31" t="s">
        <v>312</v>
      </c>
      <c r="E28" s="31"/>
      <c r="F28" s="102">
        <f>F31+F34+F35</f>
        <v>42000</v>
      </c>
      <c r="G28" s="114">
        <f>G31+G34+G35+G36</f>
        <v>32000</v>
      </c>
      <c r="H28" s="115">
        <f>IF(F28&gt;0,G28/F28*100,"")</f>
        <v>76.19047619047619</v>
      </c>
      <c r="I28" s="116" t="e">
        <f>F28/F214</f>
        <v>#REF!</v>
      </c>
      <c r="J28" s="20"/>
      <c r="K28" s="20">
        <f>K31+K34+K35+K36</f>
        <v>0</v>
      </c>
      <c r="L28" s="20">
        <f>L31+L34+L35+L36</f>
        <v>0</v>
      </c>
      <c r="M28" s="20">
        <f>M31+M34+M35+M36</f>
        <v>17000</v>
      </c>
      <c r="N28" s="20">
        <f>N31+N34+N35+N36</f>
        <v>0</v>
      </c>
      <c r="O28" s="20">
        <f>O31+O34+O35+O36</f>
        <v>0</v>
      </c>
      <c r="P28" s="255">
        <f>P31+P34+P35+P36+P30</f>
        <v>5000</v>
      </c>
      <c r="Q28" s="255">
        <f>Q31+Q34+Q35+Q36+Q30</f>
        <v>0</v>
      </c>
      <c r="R28" s="255">
        <f>R31+R34+R35+R36+R30</f>
        <v>0</v>
      </c>
      <c r="S28" s="255">
        <f>S29+S30+S31+S32+S33+S34+S37+S38+S39+S40</f>
        <v>2386460</v>
      </c>
      <c r="T28" s="686">
        <f t="shared" si="2"/>
        <v>0.07425874127005642</v>
      </c>
    </row>
    <row r="29" spans="1:20" ht="24.75" customHeight="1">
      <c r="A29" s="195"/>
      <c r="B29" s="11" t="s">
        <v>696</v>
      </c>
      <c r="C29" s="27"/>
      <c r="D29" s="27"/>
      <c r="E29" s="31" t="s">
        <v>695</v>
      </c>
      <c r="F29" s="9"/>
      <c r="G29" s="111"/>
      <c r="H29" s="108"/>
      <c r="I29" s="10"/>
      <c r="J29" s="7"/>
      <c r="K29" s="7"/>
      <c r="L29" s="7"/>
      <c r="M29" s="7"/>
      <c r="N29" s="7"/>
      <c r="O29" s="7"/>
      <c r="P29" s="121"/>
      <c r="Q29" s="121"/>
      <c r="R29" s="121"/>
      <c r="S29" s="255">
        <v>0</v>
      </c>
      <c r="T29" s="686">
        <f t="shared" si="2"/>
        <v>0</v>
      </c>
    </row>
    <row r="30" spans="1:20" ht="16.5" customHeight="1">
      <c r="A30" s="195"/>
      <c r="B30" s="8" t="s">
        <v>862</v>
      </c>
      <c r="C30" s="27"/>
      <c r="D30" s="27"/>
      <c r="E30" s="31" t="s">
        <v>102</v>
      </c>
      <c r="F30" s="102"/>
      <c r="G30" s="114"/>
      <c r="H30" s="115"/>
      <c r="I30" s="116"/>
      <c r="J30" s="20"/>
      <c r="K30" s="20"/>
      <c r="L30" s="20"/>
      <c r="M30" s="20"/>
      <c r="N30" s="20"/>
      <c r="O30" s="20"/>
      <c r="P30" s="255">
        <v>200</v>
      </c>
      <c r="Q30" s="255">
        <v>0</v>
      </c>
      <c r="R30" s="255">
        <v>0</v>
      </c>
      <c r="S30" s="8">
        <v>0</v>
      </c>
      <c r="T30" s="686">
        <f t="shared" si="2"/>
        <v>0</v>
      </c>
    </row>
    <row r="31" spans="1:20" ht="24" customHeight="1">
      <c r="A31" s="195"/>
      <c r="B31" s="11" t="s">
        <v>866</v>
      </c>
      <c r="C31" s="18"/>
      <c r="D31" s="18"/>
      <c r="E31" s="18" t="s">
        <v>103</v>
      </c>
      <c r="F31" s="5">
        <v>17000</v>
      </c>
      <c r="G31" s="112">
        <v>18200</v>
      </c>
      <c r="H31" s="110">
        <f>IF(F31&gt;0,G31/F31*100,"")</f>
        <v>107.05882352941177</v>
      </c>
      <c r="I31" s="6" t="e">
        <f>F31/F214</f>
        <v>#REF!</v>
      </c>
      <c r="J31" s="8"/>
      <c r="K31" s="8">
        <v>0</v>
      </c>
      <c r="L31" s="8">
        <v>0</v>
      </c>
      <c r="M31" s="8">
        <v>1747</v>
      </c>
      <c r="N31" s="8">
        <v>0</v>
      </c>
      <c r="O31" s="8">
        <v>0</v>
      </c>
      <c r="P31" s="8">
        <v>2617</v>
      </c>
      <c r="Q31" s="8">
        <v>0</v>
      </c>
      <c r="R31" s="8">
        <v>0</v>
      </c>
      <c r="S31" s="8">
        <v>2700</v>
      </c>
      <c r="T31" s="686">
        <f t="shared" si="2"/>
        <v>8.401506894276557E-05</v>
      </c>
    </row>
    <row r="32" spans="1:20" ht="16.5" customHeight="1">
      <c r="A32" s="195"/>
      <c r="B32" s="11" t="s">
        <v>868</v>
      </c>
      <c r="C32" s="18"/>
      <c r="D32" s="18"/>
      <c r="E32" s="18" t="s">
        <v>104</v>
      </c>
      <c r="F32" s="5"/>
      <c r="G32" s="112"/>
      <c r="H32" s="110"/>
      <c r="I32" s="6"/>
      <c r="J32" s="8"/>
      <c r="K32" s="8"/>
      <c r="L32" s="8"/>
      <c r="M32" s="8"/>
      <c r="N32" s="8"/>
      <c r="O32" s="8"/>
      <c r="P32" s="8"/>
      <c r="Q32" s="8"/>
      <c r="R32" s="8"/>
      <c r="S32" s="8">
        <v>0</v>
      </c>
      <c r="T32" s="686">
        <f t="shared" si="2"/>
        <v>0</v>
      </c>
    </row>
    <row r="33" spans="1:20" ht="17.25" customHeight="1">
      <c r="A33" s="195"/>
      <c r="B33" s="11" t="s">
        <v>858</v>
      </c>
      <c r="C33" s="18"/>
      <c r="D33" s="18"/>
      <c r="E33" s="18" t="s">
        <v>101</v>
      </c>
      <c r="F33" s="5"/>
      <c r="G33" s="112"/>
      <c r="H33" s="110"/>
      <c r="I33" s="6"/>
      <c r="J33" s="8"/>
      <c r="K33" s="8"/>
      <c r="L33" s="8"/>
      <c r="M33" s="8"/>
      <c r="N33" s="8"/>
      <c r="O33" s="8"/>
      <c r="P33" s="8"/>
      <c r="Q33" s="8"/>
      <c r="R33" s="8"/>
      <c r="S33" s="8">
        <v>0</v>
      </c>
      <c r="T33" s="686">
        <f t="shared" si="2"/>
        <v>0</v>
      </c>
    </row>
    <row r="34" spans="1:20" ht="18" customHeight="1">
      <c r="A34" s="195"/>
      <c r="B34" s="8" t="s">
        <v>890</v>
      </c>
      <c r="C34" s="18"/>
      <c r="D34" s="18"/>
      <c r="E34" s="18" t="s">
        <v>105</v>
      </c>
      <c r="F34" s="5">
        <v>18000</v>
      </c>
      <c r="G34" s="112">
        <v>9400</v>
      </c>
      <c r="H34" s="110">
        <f>IF(F34&gt;0,G34/F34*100,"")</f>
        <v>52.22222222222223</v>
      </c>
      <c r="I34" s="6" t="e">
        <f>F34/F214</f>
        <v>#REF!</v>
      </c>
      <c r="J34" s="8"/>
      <c r="K34" s="8">
        <v>0</v>
      </c>
      <c r="L34" s="8">
        <v>0</v>
      </c>
      <c r="M34" s="8">
        <v>7749</v>
      </c>
      <c r="N34" s="8">
        <v>0</v>
      </c>
      <c r="O34" s="8">
        <v>0</v>
      </c>
      <c r="P34" s="8">
        <v>1700</v>
      </c>
      <c r="Q34" s="8">
        <v>0</v>
      </c>
      <c r="R34" s="8">
        <v>0</v>
      </c>
      <c r="S34" s="8">
        <v>0</v>
      </c>
      <c r="T34" s="686">
        <f t="shared" si="2"/>
        <v>0</v>
      </c>
    </row>
    <row r="35" spans="1:20" ht="0.75" customHeight="1" hidden="1">
      <c r="A35" s="195"/>
      <c r="B35" s="11" t="s">
        <v>858</v>
      </c>
      <c r="C35" s="18"/>
      <c r="D35" s="18"/>
      <c r="E35" s="18" t="s">
        <v>101</v>
      </c>
      <c r="F35" s="5">
        <v>7000</v>
      </c>
      <c r="G35" s="112">
        <v>4400</v>
      </c>
      <c r="H35" s="110">
        <f>IF(F35&gt;0,G35/F35*100,"")</f>
        <v>62.857142857142854</v>
      </c>
      <c r="I35" s="6" t="e">
        <f>F35/F214</f>
        <v>#REF!</v>
      </c>
      <c r="J35" s="8"/>
      <c r="K35" s="8">
        <v>0</v>
      </c>
      <c r="L35" s="8">
        <v>0</v>
      </c>
      <c r="M35" s="8">
        <v>200</v>
      </c>
      <c r="N35" s="8">
        <v>0</v>
      </c>
      <c r="O35" s="8">
        <v>0</v>
      </c>
      <c r="P35" s="8">
        <v>483</v>
      </c>
      <c r="Q35" s="8">
        <v>0</v>
      </c>
      <c r="R35" s="8">
        <v>0</v>
      </c>
      <c r="S35" s="8">
        <v>0</v>
      </c>
      <c r="T35" s="686">
        <f t="shared" si="2"/>
        <v>0</v>
      </c>
    </row>
    <row r="36" spans="1:20" ht="12.75" customHeight="1" hidden="1">
      <c r="A36" s="195"/>
      <c r="B36" s="11" t="s">
        <v>870</v>
      </c>
      <c r="C36" s="18"/>
      <c r="D36" s="18"/>
      <c r="E36" s="18" t="s">
        <v>871</v>
      </c>
      <c r="F36" s="5"/>
      <c r="G36" s="112">
        <v>0</v>
      </c>
      <c r="H36" s="110"/>
      <c r="I36" s="6"/>
      <c r="J36" s="8"/>
      <c r="K36" s="8">
        <v>0</v>
      </c>
      <c r="L36" s="8">
        <v>0</v>
      </c>
      <c r="M36" s="8">
        <v>7304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/>
      <c r="T36" s="686">
        <f t="shared" si="2"/>
        <v>0</v>
      </c>
    </row>
    <row r="37" spans="1:20" ht="24.75" customHeight="1">
      <c r="A37" s="684"/>
      <c r="B37" s="459" t="s">
        <v>188</v>
      </c>
      <c r="C37" s="31"/>
      <c r="D37" s="31"/>
      <c r="E37" s="31" t="s">
        <v>701</v>
      </c>
      <c r="F37" s="20"/>
      <c r="G37" s="20"/>
      <c r="H37" s="115"/>
      <c r="I37" s="115"/>
      <c r="J37" s="20"/>
      <c r="K37" s="20"/>
      <c r="L37" s="20"/>
      <c r="M37" s="20"/>
      <c r="N37" s="20"/>
      <c r="O37" s="20"/>
      <c r="P37" s="255"/>
      <c r="Q37" s="255"/>
      <c r="R37" s="255"/>
      <c r="S37" s="255">
        <v>1988005</v>
      </c>
      <c r="T37" s="686">
        <f t="shared" si="2"/>
        <v>0.06186013967909729</v>
      </c>
    </row>
    <row r="38" spans="1:20" ht="24" customHeight="1">
      <c r="A38" s="684"/>
      <c r="B38" s="459" t="s">
        <v>189</v>
      </c>
      <c r="C38" s="31"/>
      <c r="D38" s="31"/>
      <c r="E38" s="31" t="s">
        <v>67</v>
      </c>
      <c r="F38" s="20"/>
      <c r="G38" s="20"/>
      <c r="H38" s="115"/>
      <c r="I38" s="115"/>
      <c r="J38" s="20"/>
      <c r="K38" s="20"/>
      <c r="L38" s="20"/>
      <c r="M38" s="20"/>
      <c r="N38" s="20"/>
      <c r="O38" s="20"/>
      <c r="P38" s="255"/>
      <c r="Q38" s="255"/>
      <c r="R38" s="255"/>
      <c r="S38" s="255">
        <v>275755</v>
      </c>
      <c r="T38" s="686">
        <f t="shared" si="2"/>
        <v>0.008580583457893452</v>
      </c>
    </row>
    <row r="39" spans="1:20" ht="25.5" customHeight="1">
      <c r="A39" s="687"/>
      <c r="B39" s="208" t="s">
        <v>965</v>
      </c>
      <c r="C39" s="33"/>
      <c r="D39" s="57"/>
      <c r="E39" s="22">
        <v>6610</v>
      </c>
      <c r="F39" s="9"/>
      <c r="G39" s="111"/>
      <c r="H39" s="108"/>
      <c r="I39" s="10"/>
      <c r="J39" s="7"/>
      <c r="K39" s="7"/>
      <c r="L39" s="7"/>
      <c r="M39" s="7"/>
      <c r="N39" s="7"/>
      <c r="O39" s="7"/>
      <c r="P39" s="8">
        <v>60000</v>
      </c>
      <c r="Q39" s="8">
        <v>0</v>
      </c>
      <c r="R39" s="8">
        <v>0</v>
      </c>
      <c r="S39" s="307">
        <v>50000</v>
      </c>
      <c r="T39" s="686">
        <f t="shared" si="2"/>
        <v>0.0015558346100512143</v>
      </c>
    </row>
    <row r="40" spans="1:20" ht="25.5" customHeight="1">
      <c r="A40" s="687"/>
      <c r="B40" s="208" t="s">
        <v>965</v>
      </c>
      <c r="C40" s="33"/>
      <c r="D40" s="57"/>
      <c r="E40" s="22">
        <v>6619</v>
      </c>
      <c r="F40" s="9"/>
      <c r="G40" s="111"/>
      <c r="H40" s="108"/>
      <c r="I40" s="10"/>
      <c r="J40" s="7"/>
      <c r="K40" s="7"/>
      <c r="L40" s="7"/>
      <c r="M40" s="7"/>
      <c r="N40" s="7"/>
      <c r="O40" s="7"/>
      <c r="P40" s="8"/>
      <c r="Q40" s="8"/>
      <c r="R40" s="8"/>
      <c r="S40" s="307">
        <v>70000</v>
      </c>
      <c r="T40" s="686">
        <f t="shared" si="2"/>
        <v>0.0021781684540717002</v>
      </c>
    </row>
    <row r="41" spans="1:20" ht="25.5">
      <c r="A41" s="680" t="s">
        <v>692</v>
      </c>
      <c r="B41" s="439" t="s">
        <v>872</v>
      </c>
      <c r="C41" s="440" t="s">
        <v>325</v>
      </c>
      <c r="D41" s="443"/>
      <c r="E41" s="443"/>
      <c r="F41" s="444">
        <f>F42</f>
        <v>576998</v>
      </c>
      <c r="G41" s="445">
        <f>G42</f>
        <v>906816</v>
      </c>
      <c r="H41" s="441">
        <f>IF(F41&gt;0,G41/F41*100,"")</f>
        <v>157.1610300209013</v>
      </c>
      <c r="I41" s="446" t="e">
        <f>F41/F214</f>
        <v>#REF!</v>
      </c>
      <c r="J41" s="366"/>
      <c r="K41" s="366">
        <f aca="true" t="shared" si="4" ref="K41:R41">K42</f>
        <v>0</v>
      </c>
      <c r="L41" s="366">
        <f t="shared" si="4"/>
        <v>200000</v>
      </c>
      <c r="M41" s="366" t="e">
        <f t="shared" si="4"/>
        <v>#REF!</v>
      </c>
      <c r="N41" s="366" t="e">
        <f t="shared" si="4"/>
        <v>#REF!</v>
      </c>
      <c r="O41" s="366" t="e">
        <f t="shared" si="4"/>
        <v>#REF!</v>
      </c>
      <c r="P41" s="452" t="e">
        <f t="shared" si="4"/>
        <v>#REF!</v>
      </c>
      <c r="Q41" s="452" t="e">
        <f t="shared" si="4"/>
        <v>#REF!</v>
      </c>
      <c r="R41" s="452" t="e">
        <f t="shared" si="4"/>
        <v>#REF!</v>
      </c>
      <c r="S41" s="452">
        <f>S42</f>
        <v>1513890</v>
      </c>
      <c r="T41" s="683">
        <f t="shared" si="2"/>
        <v>0.04710724915620866</v>
      </c>
    </row>
    <row r="42" spans="1:20" ht="26.25" customHeight="1">
      <c r="A42" s="687" t="s">
        <v>850</v>
      </c>
      <c r="B42" s="4" t="s">
        <v>873</v>
      </c>
      <c r="C42" s="27"/>
      <c r="D42" s="27" t="s">
        <v>327</v>
      </c>
      <c r="E42" s="27"/>
      <c r="F42" s="9">
        <f>F45+F47</f>
        <v>576998</v>
      </c>
      <c r="G42" s="111">
        <f>G45+G47+G46</f>
        <v>906816</v>
      </c>
      <c r="H42" s="108">
        <f>IF(F42&gt;0,G42/F42*100,"")</f>
        <v>157.1610300209013</v>
      </c>
      <c r="I42" s="10" t="e">
        <f>F42/F214</f>
        <v>#REF!</v>
      </c>
      <c r="J42" s="7"/>
      <c r="K42" s="7">
        <f>K45+K47+K46</f>
        <v>0</v>
      </c>
      <c r="L42" s="7">
        <f>L45+L47+L46</f>
        <v>200000</v>
      </c>
      <c r="M42" s="7" t="e">
        <f>M45+M46+M47+#REF!+M44</f>
        <v>#REF!</v>
      </c>
      <c r="N42" s="7" t="e">
        <f>N45+N46+N47+#REF!+N44</f>
        <v>#REF!</v>
      </c>
      <c r="O42" s="7" t="e">
        <f>O45+O46+O47+#REF!+O44</f>
        <v>#REF!</v>
      </c>
      <c r="P42" s="121" t="e">
        <f>P45+P46+P47+#REF!+P44+P43</f>
        <v>#REF!</v>
      </c>
      <c r="Q42" s="121" t="e">
        <f>Q45+Q46+Q47+#REF!+Q44+Q43</f>
        <v>#REF!</v>
      </c>
      <c r="R42" s="121" t="e">
        <f>R45+R46+R47+#REF!+R44+R43</f>
        <v>#REF!</v>
      </c>
      <c r="S42" s="121">
        <f>S43+S44+S45+S46+S47+S48</f>
        <v>1513890</v>
      </c>
      <c r="T42" s="686">
        <f t="shared" si="2"/>
        <v>0.04710724915620866</v>
      </c>
    </row>
    <row r="43" spans="1:20" ht="14.25" customHeight="1">
      <c r="A43" s="687"/>
      <c r="B43" s="8" t="s">
        <v>862</v>
      </c>
      <c r="C43" s="27"/>
      <c r="D43" s="31"/>
      <c r="E43" s="31" t="s">
        <v>102</v>
      </c>
      <c r="F43" s="102"/>
      <c r="G43" s="114"/>
      <c r="H43" s="115"/>
      <c r="I43" s="116"/>
      <c r="J43" s="20"/>
      <c r="K43" s="20"/>
      <c r="L43" s="20"/>
      <c r="M43" s="20"/>
      <c r="N43" s="20"/>
      <c r="O43" s="20"/>
      <c r="P43" s="255">
        <v>26</v>
      </c>
      <c r="Q43" s="255">
        <v>0</v>
      </c>
      <c r="R43" s="255">
        <v>0</v>
      </c>
      <c r="S43" s="8">
        <v>26</v>
      </c>
      <c r="T43" s="686">
        <f t="shared" si="2"/>
        <v>8.090339972266315E-07</v>
      </c>
    </row>
    <row r="44" spans="1:20" ht="26.25" customHeight="1">
      <c r="A44" s="684"/>
      <c r="B44" s="11" t="s">
        <v>866</v>
      </c>
      <c r="C44" s="31"/>
      <c r="D44" s="31"/>
      <c r="E44" s="31" t="s">
        <v>103</v>
      </c>
      <c r="F44" s="102"/>
      <c r="G44" s="114"/>
      <c r="H44" s="115"/>
      <c r="I44" s="116"/>
      <c r="J44" s="20"/>
      <c r="K44" s="20"/>
      <c r="L44" s="20"/>
      <c r="M44" s="20">
        <v>8213</v>
      </c>
      <c r="N44" s="20">
        <v>0</v>
      </c>
      <c r="O44" s="20">
        <v>0</v>
      </c>
      <c r="P44" s="8">
        <v>9201</v>
      </c>
      <c r="Q44" s="8">
        <v>0</v>
      </c>
      <c r="R44" s="8">
        <v>0</v>
      </c>
      <c r="S44" s="8">
        <v>5350</v>
      </c>
      <c r="T44" s="686">
        <f t="shared" si="2"/>
        <v>0.00016647430327547993</v>
      </c>
    </row>
    <row r="45" spans="1:20" ht="15.75" customHeight="1">
      <c r="A45" s="684"/>
      <c r="B45" s="29" t="s">
        <v>553</v>
      </c>
      <c r="C45" s="18"/>
      <c r="D45" s="18"/>
      <c r="E45" s="18" t="s">
        <v>552</v>
      </c>
      <c r="F45" s="5">
        <v>570998</v>
      </c>
      <c r="G45" s="112">
        <v>882016</v>
      </c>
      <c r="H45" s="110">
        <f>IF(F45&gt;0,G45/F45*100,"")</f>
        <v>154.46919253657632</v>
      </c>
      <c r="I45" s="6" t="e">
        <f>F45/F214</f>
        <v>#REF!</v>
      </c>
      <c r="J45" s="8"/>
      <c r="K45" s="8">
        <v>0</v>
      </c>
      <c r="L45" s="8">
        <v>200000</v>
      </c>
      <c r="M45" s="8">
        <v>547167</v>
      </c>
      <c r="N45" s="8">
        <v>0</v>
      </c>
      <c r="O45" s="8">
        <v>0</v>
      </c>
      <c r="P45" s="8">
        <v>425245</v>
      </c>
      <c r="Q45" s="8">
        <v>0</v>
      </c>
      <c r="R45" s="8">
        <v>0</v>
      </c>
      <c r="S45" s="8">
        <v>1409112</v>
      </c>
      <c r="T45" s="686">
        <f t="shared" si="2"/>
        <v>0.043846904380769734</v>
      </c>
    </row>
    <row r="46" spans="1:20" ht="12.75" customHeight="1">
      <c r="A46" s="684"/>
      <c r="B46" s="29" t="s">
        <v>858</v>
      </c>
      <c r="C46" s="18"/>
      <c r="D46" s="18"/>
      <c r="E46" s="18" t="s">
        <v>101</v>
      </c>
      <c r="F46" s="5"/>
      <c r="G46" s="112">
        <v>7000</v>
      </c>
      <c r="H46" s="110"/>
      <c r="I46" s="6"/>
      <c r="J46" s="8"/>
      <c r="K46" s="8">
        <v>0</v>
      </c>
      <c r="L46" s="8">
        <v>0</v>
      </c>
      <c r="M46" s="8">
        <v>800</v>
      </c>
      <c r="N46" s="8">
        <v>0</v>
      </c>
      <c r="O46" s="8">
        <v>0</v>
      </c>
      <c r="P46" s="8">
        <v>4899</v>
      </c>
      <c r="Q46" s="8">
        <v>0</v>
      </c>
      <c r="R46" s="8">
        <v>0</v>
      </c>
      <c r="S46" s="8">
        <v>2750</v>
      </c>
      <c r="T46" s="686">
        <f t="shared" si="2"/>
        <v>8.557090355281679E-05</v>
      </c>
    </row>
    <row r="47" spans="1:20" ht="14.25" customHeight="1">
      <c r="A47" s="687"/>
      <c r="B47" s="29" t="s">
        <v>186</v>
      </c>
      <c r="C47" s="18"/>
      <c r="D47" s="18"/>
      <c r="E47" s="18" t="s">
        <v>105</v>
      </c>
      <c r="F47" s="5">
        <v>6000</v>
      </c>
      <c r="G47" s="112">
        <v>17800</v>
      </c>
      <c r="H47" s="110">
        <f>IF(F47&gt;0,G47/F47*100,"")</f>
        <v>296.6666666666667</v>
      </c>
      <c r="I47" s="6" t="e">
        <f>F47/F214</f>
        <v>#REF!</v>
      </c>
      <c r="J47" s="8"/>
      <c r="K47" s="8">
        <v>0</v>
      </c>
      <c r="L47" s="8">
        <v>0</v>
      </c>
      <c r="M47" s="8">
        <v>9000</v>
      </c>
      <c r="N47" s="8">
        <v>0</v>
      </c>
      <c r="O47" s="8">
        <v>0</v>
      </c>
      <c r="P47" s="8">
        <v>7950</v>
      </c>
      <c r="Q47" s="8">
        <v>0</v>
      </c>
      <c r="R47" s="8">
        <v>0</v>
      </c>
      <c r="S47" s="8">
        <v>34652</v>
      </c>
      <c r="T47" s="686">
        <f t="shared" si="2"/>
        <v>0.0010782556181498937</v>
      </c>
    </row>
    <row r="48" spans="1:20" ht="24.75" customHeight="1">
      <c r="A48" s="195"/>
      <c r="B48" s="11" t="s">
        <v>38</v>
      </c>
      <c r="C48" s="33"/>
      <c r="D48" s="33"/>
      <c r="E48" s="33">
        <v>2110</v>
      </c>
      <c r="F48" s="5">
        <v>15000</v>
      </c>
      <c r="G48" s="112">
        <v>37000</v>
      </c>
      <c r="H48" s="110">
        <f>IF(F48&gt;0,G48/F48*100,"")</f>
        <v>246.66666666666669</v>
      </c>
      <c r="I48" s="6" t="e">
        <f>F48/F214</f>
        <v>#REF!</v>
      </c>
      <c r="J48" s="8"/>
      <c r="K48" s="8">
        <v>0</v>
      </c>
      <c r="L48" s="8">
        <v>0</v>
      </c>
      <c r="M48" s="8">
        <v>4000</v>
      </c>
      <c r="N48" s="8">
        <v>0</v>
      </c>
      <c r="O48" s="8">
        <v>0</v>
      </c>
      <c r="P48" s="8">
        <v>22000</v>
      </c>
      <c r="Q48" s="8">
        <v>0</v>
      </c>
      <c r="R48" s="8">
        <v>0</v>
      </c>
      <c r="S48" s="8">
        <v>62000</v>
      </c>
      <c r="T48" s="686">
        <f t="shared" si="2"/>
        <v>0.0019292349164635057</v>
      </c>
    </row>
    <row r="49" spans="1:20" ht="14.25" customHeight="1">
      <c r="A49" s="680" t="s">
        <v>694</v>
      </c>
      <c r="B49" s="439" t="s">
        <v>913</v>
      </c>
      <c r="C49" s="448">
        <v>710</v>
      </c>
      <c r="D49" s="448"/>
      <c r="E49" s="448"/>
      <c r="F49" s="444">
        <f>F50+F52+F54</f>
        <v>170602</v>
      </c>
      <c r="G49" s="445">
        <f>G50+G52+G54</f>
        <v>139020</v>
      </c>
      <c r="H49" s="441">
        <f>IF(F49&gt;0,G49/F49*100,"")</f>
        <v>81.48790752746157</v>
      </c>
      <c r="I49" s="446" t="e">
        <f>F49/F214</f>
        <v>#REF!</v>
      </c>
      <c r="J49" s="366"/>
      <c r="K49" s="366">
        <f aca="true" t="shared" si="5" ref="K49:P49">K50+K52+K54</f>
        <v>0</v>
      </c>
      <c r="L49" s="366">
        <f t="shared" si="5"/>
        <v>0</v>
      </c>
      <c r="M49" s="366">
        <f t="shared" si="5"/>
        <v>114563</v>
      </c>
      <c r="N49" s="366">
        <f t="shared" si="5"/>
        <v>0</v>
      </c>
      <c r="O49" s="366">
        <f t="shared" si="5"/>
        <v>0</v>
      </c>
      <c r="P49" s="452">
        <f t="shared" si="5"/>
        <v>137866</v>
      </c>
      <c r="Q49" s="452">
        <f>Q50+Q52+Q54</f>
        <v>0</v>
      </c>
      <c r="R49" s="452">
        <f>R50+R52+R54</f>
        <v>0</v>
      </c>
      <c r="S49" s="452">
        <f>S50+S52+S54</f>
        <v>243547</v>
      </c>
      <c r="T49" s="683">
        <f t="shared" si="2"/>
        <v>0.007578377035482862</v>
      </c>
    </row>
    <row r="50" spans="1:20" ht="26.25" customHeight="1">
      <c r="A50" s="195" t="s">
        <v>850</v>
      </c>
      <c r="B50" s="11" t="s">
        <v>333</v>
      </c>
      <c r="C50" s="33"/>
      <c r="D50" s="33">
        <v>71013</v>
      </c>
      <c r="E50" s="8"/>
      <c r="F50" s="5">
        <v>79900</v>
      </c>
      <c r="G50" s="112">
        <v>52100</v>
      </c>
      <c r="H50" s="110">
        <f>IF(F50&gt;0,G50/F50*100,"")</f>
        <v>65.20650813516896</v>
      </c>
      <c r="I50" s="6" t="e">
        <f>F50/F214</f>
        <v>#REF!</v>
      </c>
      <c r="J50" s="8"/>
      <c r="K50" s="8">
        <v>0</v>
      </c>
      <c r="L50" s="8">
        <v>0</v>
      </c>
      <c r="M50" s="8">
        <v>35000</v>
      </c>
      <c r="N50" s="8">
        <v>0</v>
      </c>
      <c r="O50" s="8">
        <v>0</v>
      </c>
      <c r="P50" s="8">
        <v>52000</v>
      </c>
      <c r="Q50" s="8">
        <v>0</v>
      </c>
      <c r="R50" s="8">
        <v>0</v>
      </c>
      <c r="S50" s="8">
        <f>S51</f>
        <v>40000</v>
      </c>
      <c r="T50" s="686">
        <f t="shared" si="2"/>
        <v>0.0012446676880409715</v>
      </c>
    </row>
    <row r="51" spans="1:20" ht="26.25" customHeight="1">
      <c r="A51" s="195"/>
      <c r="B51" s="11" t="s">
        <v>38</v>
      </c>
      <c r="C51" s="33"/>
      <c r="D51" s="33"/>
      <c r="E51" s="33">
        <v>2110</v>
      </c>
      <c r="F51" s="5"/>
      <c r="G51" s="112"/>
      <c r="H51" s="110"/>
      <c r="I51" s="6"/>
      <c r="J51" s="8"/>
      <c r="K51" s="8"/>
      <c r="L51" s="8"/>
      <c r="M51" s="8"/>
      <c r="N51" s="8"/>
      <c r="O51" s="8"/>
      <c r="P51" s="8"/>
      <c r="Q51" s="8"/>
      <c r="R51" s="8"/>
      <c r="S51" s="8">
        <v>40000</v>
      </c>
      <c r="T51" s="686">
        <f t="shared" si="2"/>
        <v>0.0012446676880409715</v>
      </c>
    </row>
    <row r="52" spans="1:20" ht="25.5" customHeight="1">
      <c r="A52" s="195" t="s">
        <v>860</v>
      </c>
      <c r="B52" s="11" t="s">
        <v>335</v>
      </c>
      <c r="C52" s="33"/>
      <c r="D52" s="33">
        <v>71014</v>
      </c>
      <c r="E52" s="8"/>
      <c r="F52" s="5">
        <v>20000</v>
      </c>
      <c r="G52" s="112">
        <v>8000</v>
      </c>
      <c r="H52" s="110">
        <f>IF(F52&gt;0,G52/F52*100,"")</f>
        <v>40</v>
      </c>
      <c r="I52" s="6" t="e">
        <f>F52/F214</f>
        <v>#REF!</v>
      </c>
      <c r="J52" s="8"/>
      <c r="K52" s="8">
        <v>0</v>
      </c>
      <c r="L52" s="8">
        <v>0</v>
      </c>
      <c r="M52" s="8">
        <v>4000</v>
      </c>
      <c r="N52" s="8">
        <v>0</v>
      </c>
      <c r="O52" s="8">
        <v>0</v>
      </c>
      <c r="P52" s="8">
        <v>4000</v>
      </c>
      <c r="Q52" s="8">
        <v>0</v>
      </c>
      <c r="R52" s="8">
        <v>0</v>
      </c>
      <c r="S52" s="8">
        <f>S53</f>
        <v>22000</v>
      </c>
      <c r="T52" s="686">
        <f t="shared" si="2"/>
        <v>0.0006845672284225343</v>
      </c>
    </row>
    <row r="53" spans="1:20" ht="27.75" customHeight="1">
      <c r="A53" s="195"/>
      <c r="B53" s="11" t="s">
        <v>38</v>
      </c>
      <c r="C53" s="33"/>
      <c r="D53" s="33"/>
      <c r="E53" s="33">
        <v>2110</v>
      </c>
      <c r="F53" s="5"/>
      <c r="G53" s="112"/>
      <c r="H53" s="110"/>
      <c r="I53" s="6"/>
      <c r="J53" s="8"/>
      <c r="K53" s="8"/>
      <c r="L53" s="8"/>
      <c r="M53" s="8"/>
      <c r="N53" s="8"/>
      <c r="O53" s="8"/>
      <c r="P53" s="8"/>
      <c r="Q53" s="8"/>
      <c r="R53" s="8"/>
      <c r="S53" s="8">
        <v>22000</v>
      </c>
      <c r="T53" s="686">
        <f t="shared" si="2"/>
        <v>0.0006845672284225343</v>
      </c>
    </row>
    <row r="54" spans="1:20" ht="17.25" customHeight="1">
      <c r="A54" s="195" t="s">
        <v>902</v>
      </c>
      <c r="B54" s="11" t="s">
        <v>337</v>
      </c>
      <c r="C54" s="33"/>
      <c r="D54" s="33">
        <v>71015</v>
      </c>
      <c r="E54" s="8"/>
      <c r="F54" s="5">
        <v>70702</v>
      </c>
      <c r="G54" s="112">
        <v>78920</v>
      </c>
      <c r="H54" s="110">
        <f>IF(F54&gt;0,G54/F54*100,"")</f>
        <v>111.62343356623575</v>
      </c>
      <c r="I54" s="6" t="e">
        <f>F54/F214</f>
        <v>#REF!</v>
      </c>
      <c r="J54" s="8"/>
      <c r="K54" s="8">
        <v>0</v>
      </c>
      <c r="L54" s="8">
        <v>0</v>
      </c>
      <c r="M54" s="8">
        <v>75563</v>
      </c>
      <c r="N54" s="8">
        <v>0</v>
      </c>
      <c r="O54" s="8">
        <v>0</v>
      </c>
      <c r="P54" s="8">
        <v>81866</v>
      </c>
      <c r="Q54" s="8">
        <v>0</v>
      </c>
      <c r="R54" s="8">
        <v>0</v>
      </c>
      <c r="S54" s="8">
        <f>S55</f>
        <v>181547</v>
      </c>
      <c r="T54" s="686">
        <f t="shared" si="2"/>
        <v>0.005649142119019356</v>
      </c>
    </row>
    <row r="55" spans="1:20" ht="26.25" customHeight="1">
      <c r="A55" s="195"/>
      <c r="B55" s="11" t="s">
        <v>38</v>
      </c>
      <c r="C55" s="33"/>
      <c r="D55" s="33"/>
      <c r="E55" s="33">
        <v>2110</v>
      </c>
      <c r="F55" s="5"/>
      <c r="G55" s="112"/>
      <c r="H55" s="110"/>
      <c r="I55" s="6"/>
      <c r="J55" s="8"/>
      <c r="K55" s="8"/>
      <c r="L55" s="8"/>
      <c r="M55" s="8"/>
      <c r="N55" s="8"/>
      <c r="O55" s="8"/>
      <c r="P55" s="8"/>
      <c r="Q55" s="8"/>
      <c r="R55" s="8"/>
      <c r="S55" s="8">
        <v>181547</v>
      </c>
      <c r="T55" s="686">
        <f t="shared" si="2"/>
        <v>0.005649142119019356</v>
      </c>
    </row>
    <row r="56" spans="1:20" ht="16.5" customHeight="1">
      <c r="A56" s="680" t="s">
        <v>727</v>
      </c>
      <c r="B56" s="439" t="s">
        <v>887</v>
      </c>
      <c r="C56" s="448">
        <v>750</v>
      </c>
      <c r="D56" s="448"/>
      <c r="E56" s="433"/>
      <c r="F56" s="447">
        <f>F57+F66</f>
        <v>142453</v>
      </c>
      <c r="G56" s="445">
        <f>G57+G66</f>
        <v>144857</v>
      </c>
      <c r="H56" s="441">
        <f>IF(F56&gt;0,G56/F56*100,"")</f>
        <v>101.68757414726261</v>
      </c>
      <c r="I56" s="446" t="e">
        <f>F56/F214</f>
        <v>#REF!</v>
      </c>
      <c r="J56" s="366"/>
      <c r="K56" s="366">
        <f aca="true" t="shared" si="6" ref="K56:P56">K57+K66</f>
        <v>0</v>
      </c>
      <c r="L56" s="366">
        <f t="shared" si="6"/>
        <v>0</v>
      </c>
      <c r="M56" s="366">
        <f t="shared" si="6"/>
        <v>97055</v>
      </c>
      <c r="N56" s="366">
        <f t="shared" si="6"/>
        <v>0</v>
      </c>
      <c r="O56" s="366">
        <f t="shared" si="6"/>
        <v>0</v>
      </c>
      <c r="P56" s="452">
        <f t="shared" si="6"/>
        <v>103976</v>
      </c>
      <c r="Q56" s="452">
        <f>Q57+Q66</f>
        <v>0</v>
      </c>
      <c r="R56" s="452">
        <f>R57+R66</f>
        <v>0</v>
      </c>
      <c r="S56" s="452">
        <f>S57+S59+S66</f>
        <v>1230936</v>
      </c>
      <c r="T56" s="683">
        <f t="shared" si="2"/>
        <v>0.03830265663116003</v>
      </c>
    </row>
    <row r="57" spans="1:20" ht="18.75" customHeight="1">
      <c r="A57" s="195" t="s">
        <v>850</v>
      </c>
      <c r="B57" s="11" t="s">
        <v>857</v>
      </c>
      <c r="C57" s="33"/>
      <c r="D57" s="33">
        <v>75011</v>
      </c>
      <c r="E57" s="8"/>
      <c r="F57" s="5">
        <v>120453</v>
      </c>
      <c r="G57" s="112">
        <v>120857</v>
      </c>
      <c r="H57" s="110">
        <f>IF(F57&gt;0,G57/F57*100,"")</f>
        <v>100.33540052966717</v>
      </c>
      <c r="I57" s="6" t="e">
        <f>F57/F214</f>
        <v>#REF!</v>
      </c>
      <c r="J57" s="8"/>
      <c r="K57" s="8">
        <v>0</v>
      </c>
      <c r="L57" s="8">
        <v>0</v>
      </c>
      <c r="M57" s="8">
        <v>86463</v>
      </c>
      <c r="N57" s="8">
        <v>0</v>
      </c>
      <c r="O57" s="8">
        <v>0</v>
      </c>
      <c r="P57" s="8">
        <v>89799</v>
      </c>
      <c r="Q57" s="8">
        <v>0</v>
      </c>
      <c r="R57" s="8">
        <v>0</v>
      </c>
      <c r="S57" s="8">
        <f>S58</f>
        <v>102748</v>
      </c>
      <c r="T57" s="686">
        <f t="shared" si="2"/>
        <v>0.0031971778902708434</v>
      </c>
    </row>
    <row r="58" spans="1:20" ht="24.75" customHeight="1">
      <c r="A58" s="195"/>
      <c r="B58" s="11" t="s">
        <v>38</v>
      </c>
      <c r="C58" s="33"/>
      <c r="D58" s="33"/>
      <c r="E58" s="33">
        <v>2110</v>
      </c>
      <c r="F58" s="5"/>
      <c r="G58" s="112"/>
      <c r="H58" s="110"/>
      <c r="I58" s="6"/>
      <c r="J58" s="8"/>
      <c r="K58" s="8"/>
      <c r="L58" s="8"/>
      <c r="M58" s="8"/>
      <c r="N58" s="8"/>
      <c r="O58" s="8"/>
      <c r="P58" s="8"/>
      <c r="Q58" s="8"/>
      <c r="R58" s="8"/>
      <c r="S58" s="8">
        <v>102748</v>
      </c>
      <c r="T58" s="686">
        <f t="shared" si="2"/>
        <v>0.0031971778902708434</v>
      </c>
    </row>
    <row r="59" spans="1:20" s="107" customFormat="1" ht="15.75" customHeight="1">
      <c r="A59" s="684" t="s">
        <v>860</v>
      </c>
      <c r="B59" s="20" t="s">
        <v>888</v>
      </c>
      <c r="C59" s="22"/>
      <c r="D59" s="22">
        <v>75020</v>
      </c>
      <c r="E59" s="22"/>
      <c r="F59" s="102">
        <f>F60+F61+F62+F63+F64+F65</f>
        <v>585000</v>
      </c>
      <c r="G59" s="114">
        <f>G60+G61+G62+G63+G64+G65</f>
        <v>740250</v>
      </c>
      <c r="H59" s="115">
        <f aca="true" t="shared" si="7" ref="H59:H66">IF(F59&gt;0,G59/F59*100,"")</f>
        <v>126.53846153846153</v>
      </c>
      <c r="I59" s="116" t="e">
        <f>F59/F214</f>
        <v>#REF!</v>
      </c>
      <c r="J59" s="20"/>
      <c r="K59" s="20">
        <f>K60+K61+K62+K63+K65</f>
        <v>0</v>
      </c>
      <c r="L59" s="20">
        <f>L60+L61+L62+L63+L65</f>
        <v>0</v>
      </c>
      <c r="M59" s="20">
        <f aca="true" t="shared" si="8" ref="M59:R59">M60+M61+M62+M63+M65+M64</f>
        <v>564670</v>
      </c>
      <c r="N59" s="20">
        <f t="shared" si="8"/>
        <v>0</v>
      </c>
      <c r="O59" s="20">
        <f t="shared" si="8"/>
        <v>0</v>
      </c>
      <c r="P59" s="255">
        <f t="shared" si="8"/>
        <v>536299</v>
      </c>
      <c r="Q59" s="255">
        <f t="shared" si="8"/>
        <v>0</v>
      </c>
      <c r="R59" s="255">
        <f t="shared" si="8"/>
        <v>0</v>
      </c>
      <c r="S59" s="255">
        <f>S60+S61+S62+S64+S65</f>
        <v>1115188</v>
      </c>
      <c r="T59" s="686">
        <f t="shared" si="2"/>
        <v>0.034700961742275875</v>
      </c>
    </row>
    <row r="60" spans="1:20" ht="16.5" customHeight="1">
      <c r="A60" s="195"/>
      <c r="B60" s="8" t="s">
        <v>889</v>
      </c>
      <c r="C60" s="18"/>
      <c r="D60" s="18"/>
      <c r="E60" s="18" t="s">
        <v>106</v>
      </c>
      <c r="F60" s="5">
        <v>500000</v>
      </c>
      <c r="G60" s="112">
        <v>650000</v>
      </c>
      <c r="H60" s="110">
        <f t="shared" si="7"/>
        <v>130</v>
      </c>
      <c r="I60" s="6" t="e">
        <f>F60/F214</f>
        <v>#REF!</v>
      </c>
      <c r="J60" s="8"/>
      <c r="K60" s="8">
        <v>0</v>
      </c>
      <c r="L60" s="8">
        <v>0</v>
      </c>
      <c r="M60" s="8">
        <v>529000</v>
      </c>
      <c r="N60" s="8">
        <v>0</v>
      </c>
      <c r="O60" s="8">
        <v>0</v>
      </c>
      <c r="P60" s="8">
        <v>523273</v>
      </c>
      <c r="Q60" s="8">
        <v>0</v>
      </c>
      <c r="R60" s="8">
        <v>0</v>
      </c>
      <c r="S60" s="8">
        <v>1096800</v>
      </c>
      <c r="T60" s="686">
        <f t="shared" si="2"/>
        <v>0.03412878800608344</v>
      </c>
    </row>
    <row r="61" spans="1:20" ht="14.25" customHeight="1">
      <c r="A61" s="195"/>
      <c r="B61" s="8" t="s">
        <v>862</v>
      </c>
      <c r="C61" s="18"/>
      <c r="D61" s="18"/>
      <c r="E61" s="18" t="s">
        <v>102</v>
      </c>
      <c r="F61" s="5">
        <v>10000</v>
      </c>
      <c r="G61" s="112">
        <v>10000</v>
      </c>
      <c r="H61" s="110">
        <f t="shared" si="7"/>
        <v>100</v>
      </c>
      <c r="I61" s="6" t="e">
        <f>F61/F214</f>
        <v>#REF!</v>
      </c>
      <c r="J61" s="8"/>
      <c r="K61" s="8">
        <v>0</v>
      </c>
      <c r="L61" s="8">
        <v>0</v>
      </c>
      <c r="M61" s="8">
        <v>1800</v>
      </c>
      <c r="N61" s="8">
        <v>0</v>
      </c>
      <c r="O61" s="8">
        <v>0</v>
      </c>
      <c r="P61" s="8">
        <v>1800</v>
      </c>
      <c r="Q61" s="8">
        <v>0</v>
      </c>
      <c r="R61" s="8">
        <v>0</v>
      </c>
      <c r="S61" s="8">
        <v>1450</v>
      </c>
      <c r="T61" s="686">
        <f t="shared" si="2"/>
        <v>4.5119203691485214E-05</v>
      </c>
    </row>
    <row r="62" spans="1:20" ht="24" customHeight="1">
      <c r="A62" s="195"/>
      <c r="B62" s="11" t="s">
        <v>866</v>
      </c>
      <c r="C62" s="18"/>
      <c r="D62" s="18"/>
      <c r="E62" s="18" t="s">
        <v>103</v>
      </c>
      <c r="F62" s="5">
        <v>2000</v>
      </c>
      <c r="G62" s="112">
        <v>5000</v>
      </c>
      <c r="H62" s="110">
        <f t="shared" si="7"/>
        <v>250</v>
      </c>
      <c r="I62" s="6" t="e">
        <f>F62/F214</f>
        <v>#REF!</v>
      </c>
      <c r="J62" s="8"/>
      <c r="K62" s="8">
        <v>0</v>
      </c>
      <c r="L62" s="8">
        <v>0</v>
      </c>
      <c r="M62" s="8">
        <v>1070</v>
      </c>
      <c r="N62" s="8">
        <v>0</v>
      </c>
      <c r="O62" s="8">
        <v>0</v>
      </c>
      <c r="P62" s="8">
        <v>676</v>
      </c>
      <c r="Q62" s="8">
        <v>0</v>
      </c>
      <c r="R62" s="8">
        <v>0</v>
      </c>
      <c r="S62" s="8">
        <v>1138</v>
      </c>
      <c r="T62" s="686">
        <f t="shared" si="2"/>
        <v>3.541079572476564E-05</v>
      </c>
    </row>
    <row r="63" spans="1:20" ht="20.25" customHeight="1" hidden="1">
      <c r="A63" s="195"/>
      <c r="B63" s="11" t="s">
        <v>868</v>
      </c>
      <c r="C63" s="18"/>
      <c r="D63" s="18"/>
      <c r="E63" s="18" t="s">
        <v>869</v>
      </c>
      <c r="F63" s="5">
        <v>2000</v>
      </c>
      <c r="G63" s="112">
        <v>5250</v>
      </c>
      <c r="H63" s="110">
        <f t="shared" si="7"/>
        <v>262.5</v>
      </c>
      <c r="I63" s="6" t="e">
        <f>F63/F214</f>
        <v>#REF!</v>
      </c>
      <c r="J63" s="8"/>
      <c r="K63" s="8">
        <v>0</v>
      </c>
      <c r="L63" s="8">
        <v>0</v>
      </c>
      <c r="M63" s="8">
        <v>3800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/>
      <c r="T63" s="686">
        <f t="shared" si="2"/>
        <v>0</v>
      </c>
    </row>
    <row r="64" spans="1:20" ht="12.75" customHeight="1">
      <c r="A64" s="195"/>
      <c r="B64" s="8" t="s">
        <v>868</v>
      </c>
      <c r="C64" s="18"/>
      <c r="D64" s="18"/>
      <c r="E64" s="18" t="s">
        <v>104</v>
      </c>
      <c r="F64" s="5">
        <v>10000</v>
      </c>
      <c r="G64" s="112">
        <v>0</v>
      </c>
      <c r="H64" s="110">
        <f t="shared" si="7"/>
        <v>0</v>
      </c>
      <c r="I64" s="6" t="e">
        <f>F64/F214</f>
        <v>#REF!</v>
      </c>
      <c r="J64" s="8"/>
      <c r="K64" s="8"/>
      <c r="L64" s="8"/>
      <c r="M64" s="8">
        <v>4000</v>
      </c>
      <c r="N64" s="8">
        <v>0</v>
      </c>
      <c r="O64" s="8">
        <v>0</v>
      </c>
      <c r="P64" s="8">
        <v>2785</v>
      </c>
      <c r="Q64" s="8">
        <v>0</v>
      </c>
      <c r="R64" s="8">
        <v>0</v>
      </c>
      <c r="S64" s="8">
        <v>200</v>
      </c>
      <c r="T64" s="686">
        <f t="shared" si="2"/>
        <v>6.223338440204857E-06</v>
      </c>
    </row>
    <row r="65" spans="1:20" ht="14.25" customHeight="1">
      <c r="A65" s="195"/>
      <c r="B65" s="11" t="s">
        <v>890</v>
      </c>
      <c r="C65" s="18"/>
      <c r="D65" s="18"/>
      <c r="E65" s="18" t="s">
        <v>105</v>
      </c>
      <c r="F65" s="5">
        <v>61000</v>
      </c>
      <c r="G65" s="112">
        <v>70000</v>
      </c>
      <c r="H65" s="110">
        <f t="shared" si="7"/>
        <v>114.75409836065573</v>
      </c>
      <c r="I65" s="6" t="e">
        <f>F65/F214</f>
        <v>#REF!</v>
      </c>
      <c r="J65" s="8"/>
      <c r="K65" s="8">
        <v>0</v>
      </c>
      <c r="L65" s="8">
        <v>0</v>
      </c>
      <c r="M65" s="8">
        <v>25000</v>
      </c>
      <c r="N65" s="8">
        <v>0</v>
      </c>
      <c r="O65" s="8">
        <v>0</v>
      </c>
      <c r="P65" s="8">
        <v>7765</v>
      </c>
      <c r="Q65" s="8">
        <v>0</v>
      </c>
      <c r="R65" s="8">
        <v>0</v>
      </c>
      <c r="S65" s="8">
        <v>15600</v>
      </c>
      <c r="T65" s="686">
        <f t="shared" si="2"/>
        <v>0.00048542039833597886</v>
      </c>
    </row>
    <row r="66" spans="1:20" ht="18" customHeight="1">
      <c r="A66" s="195" t="s">
        <v>902</v>
      </c>
      <c r="B66" s="11" t="s">
        <v>354</v>
      </c>
      <c r="C66" s="33"/>
      <c r="D66" s="33">
        <v>75045</v>
      </c>
      <c r="E66" s="8"/>
      <c r="F66" s="5">
        <v>22000</v>
      </c>
      <c r="G66" s="112">
        <v>24000</v>
      </c>
      <c r="H66" s="110">
        <f t="shared" si="7"/>
        <v>109.09090909090908</v>
      </c>
      <c r="I66" s="6" t="e">
        <f>F66/F214</f>
        <v>#REF!</v>
      </c>
      <c r="J66" s="8"/>
      <c r="K66" s="8">
        <v>0</v>
      </c>
      <c r="L66" s="8">
        <v>0</v>
      </c>
      <c r="M66" s="8">
        <v>10592</v>
      </c>
      <c r="N66" s="8">
        <v>0</v>
      </c>
      <c r="O66" s="8">
        <v>0</v>
      </c>
      <c r="P66" s="8">
        <v>14177</v>
      </c>
      <c r="Q66" s="8">
        <v>0</v>
      </c>
      <c r="R66" s="8">
        <v>0</v>
      </c>
      <c r="S66" s="8">
        <f>S67</f>
        <v>13000</v>
      </c>
      <c r="T66" s="686">
        <f t="shared" si="2"/>
        <v>0.00040451699861331574</v>
      </c>
    </row>
    <row r="67" spans="1:20" ht="24" customHeight="1">
      <c r="A67" s="195"/>
      <c r="B67" s="11" t="s">
        <v>38</v>
      </c>
      <c r="C67" s="33"/>
      <c r="D67" s="33"/>
      <c r="E67" s="33">
        <v>2110</v>
      </c>
      <c r="F67" s="5"/>
      <c r="G67" s="112"/>
      <c r="H67" s="110"/>
      <c r="I67" s="6"/>
      <c r="J67" s="8"/>
      <c r="K67" s="8"/>
      <c r="L67" s="8"/>
      <c r="M67" s="8"/>
      <c r="N67" s="8"/>
      <c r="O67" s="8"/>
      <c r="P67" s="8"/>
      <c r="Q67" s="8"/>
      <c r="R67" s="8"/>
      <c r="S67" s="8">
        <v>13000</v>
      </c>
      <c r="T67" s="686">
        <f t="shared" si="2"/>
        <v>0.00040451699861331574</v>
      </c>
    </row>
    <row r="68" spans="1:20" ht="24.75" customHeight="1">
      <c r="A68" s="680" t="s">
        <v>729</v>
      </c>
      <c r="B68" s="439" t="s">
        <v>891</v>
      </c>
      <c r="C68" s="448">
        <v>754</v>
      </c>
      <c r="D68" s="448"/>
      <c r="E68" s="448"/>
      <c r="F68" s="444" t="e">
        <f>#REF!+F69</f>
        <v>#REF!</v>
      </c>
      <c r="G68" s="445" t="e">
        <f>#REF!+G69</f>
        <v>#REF!</v>
      </c>
      <c r="H68" s="441" t="e">
        <f>IF(F68&gt;0,G68/F68*100,"")</f>
        <v>#REF!</v>
      </c>
      <c r="I68" s="446" t="e">
        <f>F68/F214</f>
        <v>#REF!</v>
      </c>
      <c r="J68" s="366"/>
      <c r="K68" s="366" t="e">
        <f>#REF!+K69</f>
        <v>#REF!</v>
      </c>
      <c r="L68" s="366" t="e">
        <f>#REF!+L69</f>
        <v>#REF!</v>
      </c>
      <c r="M68" s="366" t="e">
        <f>#REF!+M69</f>
        <v>#REF!</v>
      </c>
      <c r="N68" s="366" t="e">
        <f>#REF!+N69</f>
        <v>#REF!</v>
      </c>
      <c r="O68" s="366" t="e">
        <f>#REF!+O69</f>
        <v>#REF!</v>
      </c>
      <c r="P68" s="452" t="e">
        <f>#REF!+P69</f>
        <v>#REF!</v>
      </c>
      <c r="Q68" s="452" t="e">
        <f>#REF!+Q69</f>
        <v>#REF!</v>
      </c>
      <c r="R68" s="452" t="e">
        <f>#REF!+R69</f>
        <v>#REF!</v>
      </c>
      <c r="S68" s="452">
        <f>S69+S72</f>
        <v>2310000</v>
      </c>
      <c r="T68" s="683">
        <f t="shared" si="2"/>
        <v>0.0718795589843661</v>
      </c>
    </row>
    <row r="69" spans="1:20" ht="24" customHeight="1">
      <c r="A69" s="195" t="s">
        <v>850</v>
      </c>
      <c r="B69" s="11" t="s">
        <v>656</v>
      </c>
      <c r="C69" s="33"/>
      <c r="D69" s="33">
        <v>75411</v>
      </c>
      <c r="E69" s="8"/>
      <c r="F69" s="5">
        <v>2662024</v>
      </c>
      <c r="G69" s="112">
        <v>2874880</v>
      </c>
      <c r="H69" s="110">
        <f>IF(F69&gt;0,G69/F69*100,"")</f>
        <v>107.99602107268755</v>
      </c>
      <c r="I69" s="6" t="e">
        <f>F69/F214</f>
        <v>#REF!</v>
      </c>
      <c r="J69" s="8"/>
      <c r="K69" s="8">
        <v>0</v>
      </c>
      <c r="L69" s="8">
        <v>0</v>
      </c>
      <c r="M69" s="20">
        <v>1730000</v>
      </c>
      <c r="N69" s="20">
        <v>0</v>
      </c>
      <c r="O69" s="20">
        <v>0</v>
      </c>
      <c r="P69" s="8">
        <v>1833000</v>
      </c>
      <c r="Q69" s="8">
        <v>0</v>
      </c>
      <c r="R69" s="8">
        <v>0</v>
      </c>
      <c r="S69" s="8">
        <f>S70+S71</f>
        <v>2307000</v>
      </c>
      <c r="T69" s="686">
        <f t="shared" si="2"/>
        <v>0.07178620890776304</v>
      </c>
    </row>
    <row r="70" spans="1:20" ht="24" customHeight="1">
      <c r="A70" s="195"/>
      <c r="B70" s="11" t="s">
        <v>38</v>
      </c>
      <c r="C70" s="33"/>
      <c r="D70" s="33"/>
      <c r="E70" s="33">
        <v>2110</v>
      </c>
      <c r="F70" s="5"/>
      <c r="G70" s="112"/>
      <c r="H70" s="110"/>
      <c r="I70" s="6"/>
      <c r="J70" s="8"/>
      <c r="K70" s="8"/>
      <c r="L70" s="8"/>
      <c r="M70" s="20"/>
      <c r="N70" s="20"/>
      <c r="O70" s="20"/>
      <c r="P70" s="8"/>
      <c r="Q70" s="8"/>
      <c r="R70" s="8"/>
      <c r="S70" s="8">
        <v>2306000</v>
      </c>
      <c r="T70" s="686">
        <f t="shared" si="2"/>
        <v>0.071755092215562</v>
      </c>
    </row>
    <row r="71" spans="1:20" ht="30" customHeight="1">
      <c r="A71" s="687"/>
      <c r="B71" s="11" t="s">
        <v>38</v>
      </c>
      <c r="C71" s="33"/>
      <c r="D71" s="22"/>
      <c r="E71" s="22">
        <v>2310</v>
      </c>
      <c r="F71" s="9"/>
      <c r="G71" s="111"/>
      <c r="H71" s="108"/>
      <c r="I71" s="10"/>
      <c r="J71" s="7"/>
      <c r="K71" s="7"/>
      <c r="L71" s="7"/>
      <c r="M71" s="7"/>
      <c r="N71" s="7"/>
      <c r="O71" s="7"/>
      <c r="P71" s="8"/>
      <c r="Q71" s="8"/>
      <c r="R71" s="8"/>
      <c r="S71" s="8">
        <v>1000</v>
      </c>
      <c r="T71" s="686">
        <f t="shared" si="2"/>
        <v>3.111669220102429E-05</v>
      </c>
    </row>
    <row r="72" spans="1:20" ht="15.75" customHeight="1">
      <c r="A72" s="195" t="s">
        <v>860</v>
      </c>
      <c r="B72" s="11" t="s">
        <v>465</v>
      </c>
      <c r="C72" s="33"/>
      <c r="D72" s="33">
        <v>75414</v>
      </c>
      <c r="E72" s="8"/>
      <c r="F72" s="5"/>
      <c r="G72" s="112"/>
      <c r="H72" s="110"/>
      <c r="I72" s="6"/>
      <c r="J72" s="8"/>
      <c r="K72" s="8"/>
      <c r="L72" s="8"/>
      <c r="M72" s="20"/>
      <c r="N72" s="20"/>
      <c r="O72" s="20"/>
      <c r="P72" s="8"/>
      <c r="Q72" s="8"/>
      <c r="R72" s="8"/>
      <c r="S72" s="8">
        <f>S80</f>
        <v>3000</v>
      </c>
      <c r="T72" s="686">
        <f t="shared" si="2"/>
        <v>9.335007660307286E-05</v>
      </c>
    </row>
    <row r="73" spans="1:20" ht="21.75" customHeight="1" hidden="1">
      <c r="A73" s="687" t="s">
        <v>860</v>
      </c>
      <c r="B73" s="4" t="s">
        <v>357</v>
      </c>
      <c r="C73" s="27"/>
      <c r="D73" s="27" t="s">
        <v>356</v>
      </c>
      <c r="E73" s="27"/>
      <c r="F73" s="9"/>
      <c r="G73" s="111"/>
      <c r="H73" s="108"/>
      <c r="I73" s="10"/>
      <c r="J73" s="7"/>
      <c r="K73" s="7"/>
      <c r="L73" s="7"/>
      <c r="M73" s="7">
        <f aca="true" t="shared" si="9" ref="M73:R73">M74</f>
        <v>3050</v>
      </c>
      <c r="N73" s="7">
        <f t="shared" si="9"/>
        <v>0</v>
      </c>
      <c r="O73" s="7">
        <f t="shared" si="9"/>
        <v>0</v>
      </c>
      <c r="P73" s="7">
        <f t="shared" si="9"/>
        <v>0</v>
      </c>
      <c r="Q73" s="7">
        <f t="shared" si="9"/>
        <v>0</v>
      </c>
      <c r="R73" s="7">
        <f t="shared" si="9"/>
        <v>0</v>
      </c>
      <c r="S73" s="8"/>
      <c r="T73" s="686">
        <f t="shared" si="2"/>
        <v>0</v>
      </c>
    </row>
    <row r="74" spans="1:20" ht="0.75" customHeight="1" hidden="1">
      <c r="A74" s="195"/>
      <c r="B74" s="11" t="s">
        <v>32</v>
      </c>
      <c r="C74" s="18"/>
      <c r="D74" s="18"/>
      <c r="E74" s="18" t="s">
        <v>31</v>
      </c>
      <c r="F74" s="5"/>
      <c r="G74" s="112"/>
      <c r="H74" s="110"/>
      <c r="I74" s="6"/>
      <c r="J74" s="8"/>
      <c r="K74" s="8"/>
      <c r="L74" s="8"/>
      <c r="M74" s="8">
        <v>3050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/>
      <c r="T74" s="686">
        <f t="shared" si="2"/>
        <v>0</v>
      </c>
    </row>
    <row r="75" spans="1:20" ht="25.5" customHeight="1" hidden="1">
      <c r="A75" s="687" t="s">
        <v>694</v>
      </c>
      <c r="B75" s="4" t="s">
        <v>891</v>
      </c>
      <c r="C75" s="57">
        <v>754</v>
      </c>
      <c r="D75" s="33"/>
      <c r="E75" s="33"/>
      <c r="F75" s="5">
        <f>F76+F78</f>
        <v>18600</v>
      </c>
      <c r="G75" s="111">
        <f>G76+G78</f>
        <v>19700</v>
      </c>
      <c r="H75" s="108">
        <f>IF(F75&gt;0,G75/F75*100,"")</f>
        <v>105.91397849462365</v>
      </c>
      <c r="I75" s="10" t="e">
        <f>F75/F214</f>
        <v>#REF!</v>
      </c>
      <c r="J75" s="7"/>
      <c r="K75" s="7">
        <f aca="true" t="shared" si="10" ref="K75:P75">K76+K78</f>
        <v>0</v>
      </c>
      <c r="L75" s="7">
        <f t="shared" si="10"/>
        <v>0</v>
      </c>
      <c r="M75" s="7">
        <f t="shared" si="10"/>
        <v>6000</v>
      </c>
      <c r="N75" s="7">
        <f t="shared" si="10"/>
        <v>0</v>
      </c>
      <c r="O75" s="7">
        <f t="shared" si="10"/>
        <v>0</v>
      </c>
      <c r="P75" s="121">
        <f t="shared" si="10"/>
        <v>1000</v>
      </c>
      <c r="Q75" s="121">
        <f>Q76+Q78</f>
        <v>0</v>
      </c>
      <c r="R75" s="121">
        <f>R76+R78</f>
        <v>0</v>
      </c>
      <c r="S75" s="121">
        <f>S76+S78</f>
        <v>0</v>
      </c>
      <c r="T75" s="686">
        <f t="shared" si="2"/>
        <v>0</v>
      </c>
    </row>
    <row r="76" spans="1:20" ht="21.75" customHeight="1" hidden="1">
      <c r="A76" s="687" t="s">
        <v>850</v>
      </c>
      <c r="B76" s="7" t="s">
        <v>369</v>
      </c>
      <c r="C76" s="57"/>
      <c r="D76" s="57">
        <v>75405</v>
      </c>
      <c r="E76" s="57"/>
      <c r="F76" s="9">
        <f>F77</f>
        <v>9000</v>
      </c>
      <c r="G76" s="111">
        <f>G77</f>
        <v>9700</v>
      </c>
      <c r="H76" s="108">
        <f>IF(F76&gt;0,G76/F76*100,"")</f>
        <v>107.77777777777777</v>
      </c>
      <c r="I76" s="10" t="e">
        <f>F76/F214</f>
        <v>#REF!</v>
      </c>
      <c r="J76" s="7"/>
      <c r="K76" s="7">
        <f aca="true" t="shared" si="11" ref="K76:R76">K77</f>
        <v>0</v>
      </c>
      <c r="L76" s="7">
        <f t="shared" si="11"/>
        <v>0</v>
      </c>
      <c r="M76" s="7">
        <f t="shared" si="11"/>
        <v>5000</v>
      </c>
      <c r="N76" s="7">
        <f t="shared" si="11"/>
        <v>0</v>
      </c>
      <c r="O76" s="7">
        <f t="shared" si="11"/>
        <v>0</v>
      </c>
      <c r="P76" s="121">
        <f t="shared" si="11"/>
        <v>0</v>
      </c>
      <c r="Q76" s="121">
        <f t="shared" si="11"/>
        <v>0</v>
      </c>
      <c r="R76" s="121">
        <f t="shared" si="11"/>
        <v>0</v>
      </c>
      <c r="S76" s="8"/>
      <c r="T76" s="686">
        <f t="shared" si="2"/>
        <v>0</v>
      </c>
    </row>
    <row r="77" spans="1:20" ht="0.75" customHeight="1" hidden="1">
      <c r="A77" s="195"/>
      <c r="B77" s="11" t="s">
        <v>858</v>
      </c>
      <c r="C77" s="18"/>
      <c r="D77" s="18"/>
      <c r="E77" s="18" t="s">
        <v>859</v>
      </c>
      <c r="F77" s="5">
        <v>9000</v>
      </c>
      <c r="G77" s="112">
        <v>9700</v>
      </c>
      <c r="H77" s="110">
        <f>IF(F77&gt;0,G77/F77*100,"")</f>
        <v>107.77777777777777</v>
      </c>
      <c r="I77" s="6" t="e">
        <f>F77/F214</f>
        <v>#REF!</v>
      </c>
      <c r="J77" s="8"/>
      <c r="K77" s="8">
        <v>0</v>
      </c>
      <c r="L77" s="8">
        <v>0</v>
      </c>
      <c r="M77" s="8">
        <v>5000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8"/>
      <c r="T77" s="686">
        <f t="shared" si="2"/>
        <v>0</v>
      </c>
    </row>
    <row r="78" spans="1:20" ht="24.75" customHeight="1" hidden="1">
      <c r="A78" s="687" t="s">
        <v>850</v>
      </c>
      <c r="B78" s="4" t="s">
        <v>656</v>
      </c>
      <c r="C78" s="27"/>
      <c r="D78" s="27" t="s">
        <v>386</v>
      </c>
      <c r="E78" s="27"/>
      <c r="F78" s="9">
        <f>F79</f>
        <v>9600</v>
      </c>
      <c r="G78" s="111">
        <f>G79</f>
        <v>10000</v>
      </c>
      <c r="H78" s="108">
        <f>IF(F78&gt;0,G78/F78*100,"")</f>
        <v>104.16666666666667</v>
      </c>
      <c r="I78" s="10" t="e">
        <f>F78/F214</f>
        <v>#REF!</v>
      </c>
      <c r="J78" s="7"/>
      <c r="K78" s="7">
        <f aca="true" t="shared" si="12" ref="K78:S78">K79</f>
        <v>0</v>
      </c>
      <c r="L78" s="7">
        <f t="shared" si="12"/>
        <v>0</v>
      </c>
      <c r="M78" s="7">
        <f t="shared" si="12"/>
        <v>1000</v>
      </c>
      <c r="N78" s="7">
        <f t="shared" si="12"/>
        <v>0</v>
      </c>
      <c r="O78" s="7">
        <f t="shared" si="12"/>
        <v>0</v>
      </c>
      <c r="P78" s="121">
        <f t="shared" si="12"/>
        <v>1000</v>
      </c>
      <c r="Q78" s="121">
        <f t="shared" si="12"/>
        <v>0</v>
      </c>
      <c r="R78" s="121">
        <f t="shared" si="12"/>
        <v>0</v>
      </c>
      <c r="S78" s="121">
        <f t="shared" si="12"/>
        <v>0</v>
      </c>
      <c r="T78" s="686">
        <f t="shared" si="2"/>
        <v>0</v>
      </c>
    </row>
    <row r="79" spans="1:20" ht="13.5" customHeight="1" hidden="1">
      <c r="A79" s="195"/>
      <c r="B79" s="11" t="s">
        <v>858</v>
      </c>
      <c r="C79" s="18"/>
      <c r="D79" s="18"/>
      <c r="E79" s="18" t="s">
        <v>101</v>
      </c>
      <c r="F79" s="5">
        <v>9600</v>
      </c>
      <c r="G79" s="112">
        <v>10000</v>
      </c>
      <c r="H79" s="110">
        <f>IF(F79&gt;0,G79/F79*100,"")</f>
        <v>104.16666666666667</v>
      </c>
      <c r="I79" s="6" t="e">
        <f>F79/F214</f>
        <v>#REF!</v>
      </c>
      <c r="J79" s="8"/>
      <c r="K79" s="8">
        <v>0</v>
      </c>
      <c r="L79" s="8">
        <v>0</v>
      </c>
      <c r="M79" s="8">
        <v>1000</v>
      </c>
      <c r="N79" s="8">
        <v>0</v>
      </c>
      <c r="O79" s="8">
        <v>0</v>
      </c>
      <c r="P79" s="8">
        <v>1000</v>
      </c>
      <c r="Q79" s="8">
        <v>0</v>
      </c>
      <c r="R79" s="8">
        <v>0</v>
      </c>
      <c r="S79" s="8">
        <v>0</v>
      </c>
      <c r="T79" s="686">
        <f t="shared" si="2"/>
        <v>0</v>
      </c>
    </row>
    <row r="80" spans="1:20" ht="27.75" customHeight="1">
      <c r="A80" s="195"/>
      <c r="B80" s="11" t="s">
        <v>38</v>
      </c>
      <c r="C80" s="18"/>
      <c r="D80" s="18"/>
      <c r="E80" s="33">
        <v>2110</v>
      </c>
      <c r="F80" s="5"/>
      <c r="G80" s="112"/>
      <c r="H80" s="110"/>
      <c r="I80" s="6"/>
      <c r="J80" s="8"/>
      <c r="K80" s="8"/>
      <c r="L80" s="8"/>
      <c r="M80" s="8"/>
      <c r="N80" s="8"/>
      <c r="O80" s="8"/>
      <c r="P80" s="8"/>
      <c r="Q80" s="8"/>
      <c r="R80" s="8"/>
      <c r="S80" s="8">
        <v>3000</v>
      </c>
      <c r="T80" s="686">
        <f t="shared" si="2"/>
        <v>9.335007660307286E-05</v>
      </c>
    </row>
    <row r="81" spans="1:20" ht="35.25" customHeight="1">
      <c r="A81" s="680" t="s">
        <v>712</v>
      </c>
      <c r="B81" s="449" t="s">
        <v>127</v>
      </c>
      <c r="C81" s="440" t="s">
        <v>892</v>
      </c>
      <c r="D81" s="443"/>
      <c r="E81" s="443"/>
      <c r="F81" s="444">
        <f>F82</f>
        <v>285742</v>
      </c>
      <c r="G81" s="445">
        <f>G82</f>
        <v>239445</v>
      </c>
      <c r="H81" s="441">
        <f>IF(F81&gt;0,G81/F81*100,"")</f>
        <v>83.79762163070183</v>
      </c>
      <c r="I81" s="446" t="e">
        <f>F81/F214</f>
        <v>#REF!</v>
      </c>
      <c r="J81" s="366"/>
      <c r="K81" s="366">
        <f aca="true" t="shared" si="13" ref="K81:S82">K82</f>
        <v>0</v>
      </c>
      <c r="L81" s="366">
        <f t="shared" si="13"/>
        <v>0</v>
      </c>
      <c r="M81" s="366">
        <f t="shared" si="13"/>
        <v>134163</v>
      </c>
      <c r="N81" s="366">
        <f t="shared" si="13"/>
        <v>0</v>
      </c>
      <c r="O81" s="366">
        <f t="shared" si="13"/>
        <v>0</v>
      </c>
      <c r="P81" s="452">
        <f t="shared" si="13"/>
        <v>141331</v>
      </c>
      <c r="Q81" s="452">
        <f t="shared" si="13"/>
        <v>0</v>
      </c>
      <c r="R81" s="452">
        <f t="shared" si="13"/>
        <v>0</v>
      </c>
      <c r="S81" s="452">
        <f t="shared" si="13"/>
        <v>2035013</v>
      </c>
      <c r="T81" s="683">
        <f t="shared" si="2"/>
        <v>0.06332287314608304</v>
      </c>
    </row>
    <row r="82" spans="1:20" s="107" customFormat="1" ht="26.25" customHeight="1">
      <c r="A82" s="684" t="s">
        <v>850</v>
      </c>
      <c r="B82" s="129" t="s">
        <v>125</v>
      </c>
      <c r="C82" s="31"/>
      <c r="D82" s="31" t="s">
        <v>893</v>
      </c>
      <c r="E82" s="31"/>
      <c r="F82" s="102">
        <f>F83</f>
        <v>285742</v>
      </c>
      <c r="G82" s="114">
        <f>G83</f>
        <v>239445</v>
      </c>
      <c r="H82" s="115">
        <f>IF(F82&gt;0,G82/F82*100,"")</f>
        <v>83.79762163070183</v>
      </c>
      <c r="I82" s="116" t="e">
        <f>F82/F214</f>
        <v>#REF!</v>
      </c>
      <c r="J82" s="20"/>
      <c r="K82" s="20">
        <f t="shared" si="13"/>
        <v>0</v>
      </c>
      <c r="L82" s="20">
        <f t="shared" si="13"/>
        <v>0</v>
      </c>
      <c r="M82" s="20">
        <f t="shared" si="13"/>
        <v>134163</v>
      </c>
      <c r="N82" s="20">
        <f t="shared" si="13"/>
        <v>0</v>
      </c>
      <c r="O82" s="20">
        <f t="shared" si="13"/>
        <v>0</v>
      </c>
      <c r="P82" s="255">
        <f t="shared" si="13"/>
        <v>141331</v>
      </c>
      <c r="Q82" s="255">
        <f t="shared" si="13"/>
        <v>0</v>
      </c>
      <c r="R82" s="255">
        <f t="shared" si="13"/>
        <v>0</v>
      </c>
      <c r="S82" s="255">
        <f>S83+S84</f>
        <v>2035013</v>
      </c>
      <c r="T82" s="686">
        <f t="shared" si="2"/>
        <v>0.06332287314608304</v>
      </c>
    </row>
    <row r="83" spans="1:20" ht="16.5" customHeight="1">
      <c r="A83" s="195"/>
      <c r="B83" s="11" t="s">
        <v>126</v>
      </c>
      <c r="C83" s="18"/>
      <c r="D83" s="18"/>
      <c r="E83" s="18" t="s">
        <v>107</v>
      </c>
      <c r="F83" s="5">
        <v>285742</v>
      </c>
      <c r="G83" s="112">
        <v>239445</v>
      </c>
      <c r="H83" s="110">
        <f>IF(F83&gt;0,G83/F83*100,"")</f>
        <v>83.79762163070183</v>
      </c>
      <c r="I83" s="6" t="e">
        <f>F83/F214</f>
        <v>#REF!</v>
      </c>
      <c r="J83" s="8"/>
      <c r="K83" s="8">
        <v>0</v>
      </c>
      <c r="L83" s="8">
        <v>0</v>
      </c>
      <c r="M83" s="8">
        <v>134163</v>
      </c>
      <c r="N83" s="8">
        <v>0</v>
      </c>
      <c r="O83" s="8">
        <v>0</v>
      </c>
      <c r="P83" s="8">
        <v>141331</v>
      </c>
      <c r="Q83" s="8">
        <v>0</v>
      </c>
      <c r="R83" s="8">
        <v>0</v>
      </c>
      <c r="S83" s="8">
        <v>1950013</v>
      </c>
      <c r="T83" s="686">
        <f t="shared" si="2"/>
        <v>0.060677954308995974</v>
      </c>
    </row>
    <row r="84" spans="1:20" ht="16.5" customHeight="1">
      <c r="A84" s="195"/>
      <c r="B84" s="11" t="s">
        <v>316</v>
      </c>
      <c r="C84" s="18"/>
      <c r="D84" s="18"/>
      <c r="E84" s="18" t="s">
        <v>108</v>
      </c>
      <c r="F84" s="5"/>
      <c r="G84" s="112"/>
      <c r="H84" s="110"/>
      <c r="I84" s="6"/>
      <c r="J84" s="8"/>
      <c r="K84" s="8"/>
      <c r="L84" s="8"/>
      <c r="M84" s="8"/>
      <c r="N84" s="8"/>
      <c r="O84" s="8"/>
      <c r="P84" s="8"/>
      <c r="Q84" s="8"/>
      <c r="R84" s="8"/>
      <c r="S84" s="8">
        <v>85000</v>
      </c>
      <c r="T84" s="686">
        <f t="shared" si="2"/>
        <v>0.002644918837087064</v>
      </c>
    </row>
    <row r="85" spans="1:20" ht="18" customHeight="1">
      <c r="A85" s="680" t="s">
        <v>840</v>
      </c>
      <c r="B85" s="442" t="s">
        <v>894</v>
      </c>
      <c r="C85" s="433">
        <v>758</v>
      </c>
      <c r="D85" s="448"/>
      <c r="E85" s="448"/>
      <c r="F85" s="444">
        <f>F91+F95</f>
        <v>90000</v>
      </c>
      <c r="G85" s="445">
        <f>G95+G91</f>
        <v>100000</v>
      </c>
      <c r="H85" s="441">
        <f>IF(F85&gt;0,G85/F85*100,"")</f>
        <v>111.11111111111111</v>
      </c>
      <c r="I85" s="446" t="e">
        <f>F85/F214</f>
        <v>#REF!</v>
      </c>
      <c r="J85" s="366"/>
      <c r="K85" s="366">
        <f aca="true" t="shared" si="14" ref="K85:R85">K91</f>
        <v>0</v>
      </c>
      <c r="L85" s="366">
        <f t="shared" si="14"/>
        <v>0</v>
      </c>
      <c r="M85" s="366">
        <f t="shared" si="14"/>
        <v>60000</v>
      </c>
      <c r="N85" s="366">
        <f t="shared" si="14"/>
        <v>0</v>
      </c>
      <c r="O85" s="366">
        <f t="shared" si="14"/>
        <v>0</v>
      </c>
      <c r="P85" s="452">
        <f t="shared" si="14"/>
        <v>20000</v>
      </c>
      <c r="Q85" s="452">
        <f t="shared" si="14"/>
        <v>0</v>
      </c>
      <c r="R85" s="452">
        <f t="shared" si="14"/>
        <v>0</v>
      </c>
      <c r="S85" s="452">
        <f>S86+S88+S91+S93</f>
        <v>16334381</v>
      </c>
      <c r="T85" s="683">
        <f t="shared" si="2"/>
        <v>0.5082719058712593</v>
      </c>
    </row>
    <row r="86" spans="1:20" s="708" customFormat="1" ht="28.5" customHeight="1">
      <c r="A86" s="699" t="s">
        <v>850</v>
      </c>
      <c r="B86" s="700" t="s">
        <v>39</v>
      </c>
      <c r="C86" s="701"/>
      <c r="D86" s="701">
        <v>75801</v>
      </c>
      <c r="E86" s="701"/>
      <c r="F86" s="702"/>
      <c r="G86" s="703"/>
      <c r="H86" s="704"/>
      <c r="I86" s="705"/>
      <c r="J86" s="307"/>
      <c r="K86" s="307"/>
      <c r="L86" s="307"/>
      <c r="M86" s="307"/>
      <c r="N86" s="307"/>
      <c r="O86" s="307"/>
      <c r="P86" s="706"/>
      <c r="Q86" s="706"/>
      <c r="R86" s="706"/>
      <c r="S86" s="706">
        <f>S87</f>
        <v>13197586</v>
      </c>
      <c r="T86" s="707">
        <f t="shared" si="2"/>
        <v>0.4106652213585473</v>
      </c>
    </row>
    <row r="87" spans="1:20" ht="24.75" customHeight="1">
      <c r="A87" s="195"/>
      <c r="B87" s="11" t="s">
        <v>707</v>
      </c>
      <c r="C87" s="33"/>
      <c r="D87" s="33"/>
      <c r="E87" s="18" t="s">
        <v>110</v>
      </c>
      <c r="F87" s="5"/>
      <c r="G87" s="112"/>
      <c r="H87" s="110"/>
      <c r="I87" s="6"/>
      <c r="J87" s="8"/>
      <c r="K87" s="8"/>
      <c r="L87" s="8"/>
      <c r="M87" s="122"/>
      <c r="N87" s="122"/>
      <c r="O87" s="122"/>
      <c r="P87" s="8"/>
      <c r="Q87" s="8"/>
      <c r="R87" s="8"/>
      <c r="S87" s="8">
        <v>13197586</v>
      </c>
      <c r="T87" s="686">
        <f aca="true" t="shared" si="15" ref="T87:T150">S87/$S$214</f>
        <v>0.4106652213585473</v>
      </c>
    </row>
    <row r="88" spans="1:20" s="708" customFormat="1" ht="26.25" customHeight="1">
      <c r="A88" s="699" t="s">
        <v>860</v>
      </c>
      <c r="B88" s="700" t="s">
        <v>22</v>
      </c>
      <c r="C88" s="701"/>
      <c r="D88" s="701">
        <v>75803</v>
      </c>
      <c r="E88" s="709"/>
      <c r="F88" s="702">
        <v>857613</v>
      </c>
      <c r="G88" s="703">
        <v>912417</v>
      </c>
      <c r="H88" s="704">
        <f>IF(F88&gt;0,G88/F88*100,"")</f>
        <v>106.39029492323459</v>
      </c>
      <c r="I88" s="705" t="e">
        <f>F88/F214</f>
        <v>#REF!</v>
      </c>
      <c r="J88" s="307"/>
      <c r="K88" s="307">
        <v>0</v>
      </c>
      <c r="L88" s="307">
        <v>0</v>
      </c>
      <c r="M88" s="706">
        <v>531382</v>
      </c>
      <c r="N88" s="706">
        <v>0</v>
      </c>
      <c r="O88" s="706">
        <v>0</v>
      </c>
      <c r="P88" s="307">
        <v>543491</v>
      </c>
      <c r="Q88" s="307">
        <v>0</v>
      </c>
      <c r="R88" s="307">
        <v>0</v>
      </c>
      <c r="S88" s="307">
        <f>S89+S90</f>
        <v>1619480</v>
      </c>
      <c r="T88" s="707">
        <f t="shared" si="15"/>
        <v>0.05039286068571481</v>
      </c>
    </row>
    <row r="89" spans="1:20" ht="23.25" customHeight="1">
      <c r="A89" s="81"/>
      <c r="B89" s="11" t="s">
        <v>708</v>
      </c>
      <c r="C89" s="33"/>
      <c r="D89" s="33"/>
      <c r="E89" s="18" t="s">
        <v>110</v>
      </c>
      <c r="F89" s="5"/>
      <c r="G89" s="112"/>
      <c r="H89" s="110"/>
      <c r="I89" s="6"/>
      <c r="J89" s="8"/>
      <c r="K89" s="8"/>
      <c r="L89" s="8"/>
      <c r="M89" s="122"/>
      <c r="N89" s="122"/>
      <c r="O89" s="122"/>
      <c r="P89" s="8"/>
      <c r="Q89" s="8"/>
      <c r="R89" s="8"/>
      <c r="S89" s="8">
        <v>1314250</v>
      </c>
      <c r="T89" s="686">
        <f t="shared" si="15"/>
        <v>0.04089511272519617</v>
      </c>
    </row>
    <row r="90" spans="1:21" ht="26.25" customHeight="1">
      <c r="A90" s="81"/>
      <c r="B90" s="11" t="s">
        <v>625</v>
      </c>
      <c r="C90" s="33"/>
      <c r="D90" s="33"/>
      <c r="E90" s="18" t="s">
        <v>110</v>
      </c>
      <c r="F90" s="5"/>
      <c r="G90" s="112"/>
      <c r="H90" s="110"/>
      <c r="I90" s="6"/>
      <c r="J90" s="8"/>
      <c r="K90" s="8"/>
      <c r="L90" s="8"/>
      <c r="M90" s="122"/>
      <c r="N90" s="122"/>
      <c r="O90" s="122"/>
      <c r="P90" s="8"/>
      <c r="Q90" s="8"/>
      <c r="R90" s="8"/>
      <c r="S90" s="8">
        <v>305230</v>
      </c>
      <c r="T90" s="686">
        <f t="shared" si="15"/>
        <v>0.009497747960518643</v>
      </c>
      <c r="U90" s="301"/>
    </row>
    <row r="91" spans="1:20" s="107" customFormat="1" ht="17.25" customHeight="1">
      <c r="A91" s="684" t="s">
        <v>902</v>
      </c>
      <c r="B91" s="29" t="s">
        <v>895</v>
      </c>
      <c r="C91" s="22"/>
      <c r="D91" s="22">
        <v>75814</v>
      </c>
      <c r="E91" s="31"/>
      <c r="F91" s="102">
        <f>F92</f>
        <v>90000</v>
      </c>
      <c r="G91" s="114">
        <f>G92</f>
        <v>100000</v>
      </c>
      <c r="H91" s="115">
        <f>IF(F91&gt;0,G91/F91*100,"")</f>
        <v>111.11111111111111</v>
      </c>
      <c r="I91" s="116" t="e">
        <f>F91/F214</f>
        <v>#REF!</v>
      </c>
      <c r="J91" s="20"/>
      <c r="K91" s="20">
        <f aca="true" t="shared" si="16" ref="K91:S91">K92</f>
        <v>0</v>
      </c>
      <c r="L91" s="20">
        <f t="shared" si="16"/>
        <v>0</v>
      </c>
      <c r="M91" s="20">
        <f t="shared" si="16"/>
        <v>60000</v>
      </c>
      <c r="N91" s="20">
        <f t="shared" si="16"/>
        <v>0</v>
      </c>
      <c r="O91" s="20">
        <f t="shared" si="16"/>
        <v>0</v>
      </c>
      <c r="P91" s="255">
        <f t="shared" si="16"/>
        <v>20000</v>
      </c>
      <c r="Q91" s="255">
        <f t="shared" si="16"/>
        <v>0</v>
      </c>
      <c r="R91" s="255">
        <f t="shared" si="16"/>
        <v>0</v>
      </c>
      <c r="S91" s="255">
        <f t="shared" si="16"/>
        <v>65000</v>
      </c>
      <c r="T91" s="686">
        <f t="shared" si="15"/>
        <v>0.0020225849930665786</v>
      </c>
    </row>
    <row r="92" spans="1:20" ht="20.25" customHeight="1">
      <c r="A92" s="195"/>
      <c r="B92" s="11" t="s">
        <v>858</v>
      </c>
      <c r="C92" s="33"/>
      <c r="D92" s="33"/>
      <c r="E92" s="18" t="s">
        <v>101</v>
      </c>
      <c r="F92" s="5">
        <v>90000</v>
      </c>
      <c r="G92" s="112">
        <v>100000</v>
      </c>
      <c r="H92" s="110">
        <f>IF(F92&gt;0,G92/F92*100,"")</f>
        <v>111.11111111111111</v>
      </c>
      <c r="I92" s="6" t="e">
        <f>F92/F214</f>
        <v>#REF!</v>
      </c>
      <c r="J92" s="8"/>
      <c r="K92" s="8">
        <v>0</v>
      </c>
      <c r="L92" s="8">
        <v>0</v>
      </c>
      <c r="M92" s="8">
        <v>60000</v>
      </c>
      <c r="N92" s="8">
        <v>0</v>
      </c>
      <c r="O92" s="8">
        <v>0</v>
      </c>
      <c r="P92" s="8">
        <v>20000</v>
      </c>
      <c r="Q92" s="8">
        <v>0</v>
      </c>
      <c r="R92" s="8">
        <v>0</v>
      </c>
      <c r="S92" s="8">
        <v>65000</v>
      </c>
      <c r="T92" s="686">
        <f t="shared" si="15"/>
        <v>0.0020225849930665786</v>
      </c>
    </row>
    <row r="93" spans="1:21" s="307" customFormat="1" ht="21.75" customHeight="1">
      <c r="A93" s="699" t="s">
        <v>904</v>
      </c>
      <c r="B93" s="700" t="s">
        <v>259</v>
      </c>
      <c r="C93" s="701"/>
      <c r="D93" s="701">
        <v>75832</v>
      </c>
      <c r="E93" s="709"/>
      <c r="F93" s="702"/>
      <c r="G93" s="703"/>
      <c r="H93" s="704"/>
      <c r="I93" s="705"/>
      <c r="M93" s="706"/>
      <c r="N93" s="706"/>
      <c r="O93" s="706"/>
      <c r="S93" s="307">
        <f>S94</f>
        <v>1452315</v>
      </c>
      <c r="T93" s="707">
        <f t="shared" si="15"/>
        <v>0.045191238833930586</v>
      </c>
      <c r="U93" s="710"/>
    </row>
    <row r="94" spans="1:20" s="37" customFormat="1" ht="27" customHeight="1">
      <c r="A94" s="687"/>
      <c r="B94" s="29" t="s">
        <v>709</v>
      </c>
      <c r="C94" s="57"/>
      <c r="D94" s="57"/>
      <c r="E94" s="31" t="s">
        <v>110</v>
      </c>
      <c r="F94" s="9"/>
      <c r="G94" s="111"/>
      <c r="H94" s="108"/>
      <c r="I94" s="10"/>
      <c r="J94" s="7"/>
      <c r="K94" s="7"/>
      <c r="L94" s="7"/>
      <c r="M94" s="121"/>
      <c r="N94" s="121"/>
      <c r="O94" s="121"/>
      <c r="P94" s="7"/>
      <c r="Q94" s="7"/>
      <c r="R94" s="7"/>
      <c r="S94" s="20">
        <v>1452315</v>
      </c>
      <c r="T94" s="686">
        <f t="shared" si="15"/>
        <v>0.045191238833930586</v>
      </c>
    </row>
    <row r="95" spans="1:20" ht="26.25" customHeight="1" hidden="1">
      <c r="A95" s="195" t="s">
        <v>860</v>
      </c>
      <c r="B95" s="11" t="s">
        <v>896</v>
      </c>
      <c r="C95" s="33"/>
      <c r="D95" s="33">
        <v>75809</v>
      </c>
      <c r="E95" s="33"/>
      <c r="F95" s="5">
        <f>F96+F97</f>
        <v>0</v>
      </c>
      <c r="G95" s="112">
        <f>G96+G97</f>
        <v>0</v>
      </c>
      <c r="H95" s="110">
        <f aca="true" t="shared" si="17" ref="H95:H102">IF(F95&gt;0,G95/F95*100,"")</f>
      </c>
      <c r="I95" s="6" t="e">
        <f>F95/F214</f>
        <v>#REF!</v>
      </c>
      <c r="J95" s="8"/>
      <c r="K95" s="8"/>
      <c r="L95" s="8"/>
      <c r="M95" s="8"/>
      <c r="N95" s="8"/>
      <c r="O95" s="8"/>
      <c r="P95" s="8"/>
      <c r="Q95" s="8"/>
      <c r="R95" s="8"/>
      <c r="S95" s="8"/>
      <c r="T95" s="686">
        <f t="shared" si="15"/>
        <v>0</v>
      </c>
    </row>
    <row r="96" spans="1:20" ht="52.5" customHeight="1" hidden="1">
      <c r="A96" s="195"/>
      <c r="B96" s="11" t="s">
        <v>897</v>
      </c>
      <c r="C96" s="33"/>
      <c r="D96" s="33"/>
      <c r="E96" s="33">
        <v>271</v>
      </c>
      <c r="F96" s="5">
        <v>0</v>
      </c>
      <c r="G96" s="112">
        <v>0</v>
      </c>
      <c r="H96" s="110">
        <f t="shared" si="17"/>
      </c>
      <c r="I96" s="6" t="e">
        <f>F96/F214</f>
        <v>#REF!</v>
      </c>
      <c r="J96" s="8"/>
      <c r="K96" s="8"/>
      <c r="L96" s="8"/>
      <c r="M96" s="8"/>
      <c r="N96" s="8"/>
      <c r="O96" s="8"/>
      <c r="P96" s="8"/>
      <c r="Q96" s="8"/>
      <c r="R96" s="8"/>
      <c r="S96" s="8"/>
      <c r="T96" s="686">
        <f t="shared" si="15"/>
        <v>0</v>
      </c>
    </row>
    <row r="97" spans="1:20" ht="63.75" customHeight="1" hidden="1">
      <c r="A97" s="195"/>
      <c r="B97" s="11" t="s">
        <v>898</v>
      </c>
      <c r="C97" s="33"/>
      <c r="D97" s="33"/>
      <c r="E97" s="33">
        <v>630</v>
      </c>
      <c r="F97" s="5">
        <v>0</v>
      </c>
      <c r="G97" s="112">
        <v>0</v>
      </c>
      <c r="H97" s="110">
        <f t="shared" si="17"/>
      </c>
      <c r="I97" s="6" t="e">
        <f>F97/F214</f>
        <v>#REF!</v>
      </c>
      <c r="J97" s="8"/>
      <c r="K97" s="8"/>
      <c r="L97" s="8"/>
      <c r="M97" s="8"/>
      <c r="N97" s="8"/>
      <c r="O97" s="8"/>
      <c r="P97" s="8"/>
      <c r="Q97" s="8"/>
      <c r="R97" s="8"/>
      <c r="S97" s="8"/>
      <c r="T97" s="686">
        <f t="shared" si="15"/>
        <v>0</v>
      </c>
    </row>
    <row r="98" spans="1:20" ht="18" customHeight="1">
      <c r="A98" s="680" t="s">
        <v>827</v>
      </c>
      <c r="B98" s="442" t="s">
        <v>899</v>
      </c>
      <c r="C98" s="440" t="s">
        <v>413</v>
      </c>
      <c r="D98" s="443"/>
      <c r="E98" s="443"/>
      <c r="F98" s="444" t="e">
        <f>F99+F113</f>
        <v>#REF!</v>
      </c>
      <c r="G98" s="445" t="e">
        <f>G99+G113+G106+G119</f>
        <v>#REF!</v>
      </c>
      <c r="H98" s="441" t="e">
        <f t="shared" si="17"/>
        <v>#REF!</v>
      </c>
      <c r="I98" s="446" t="e">
        <f>F98/F214</f>
        <v>#REF!</v>
      </c>
      <c r="J98" s="366"/>
      <c r="K98" s="366" t="e">
        <f>K99+K113+K106+K119</f>
        <v>#REF!</v>
      </c>
      <c r="L98" s="366" t="e">
        <f>L99+L113+L106+L119</f>
        <v>#REF!</v>
      </c>
      <c r="M98" s="366" t="e">
        <f>M99+M106+M113+M119</f>
        <v>#REF!</v>
      </c>
      <c r="N98" s="366" t="e">
        <f>N99+N106+N119</f>
        <v>#REF!</v>
      </c>
      <c r="O98" s="366" t="e">
        <f>O99+O106+O119</f>
        <v>#REF!</v>
      </c>
      <c r="P98" s="452">
        <f>P99+P106+P119+P124</f>
        <v>282149</v>
      </c>
      <c r="Q98" s="452">
        <f>Q99+Q106+Q119+Q124</f>
        <v>44118</v>
      </c>
      <c r="R98" s="452">
        <f>R99+R106+R119+R124</f>
        <v>4387</v>
      </c>
      <c r="S98" s="452">
        <f>S99+S106</f>
        <v>133732</v>
      </c>
      <c r="T98" s="683">
        <f t="shared" si="15"/>
        <v>0.00416129748142738</v>
      </c>
    </row>
    <row r="99" spans="1:20" s="107" customFormat="1" ht="16.5" customHeight="1">
      <c r="A99" s="684" t="s">
        <v>850</v>
      </c>
      <c r="B99" s="20" t="s">
        <v>430</v>
      </c>
      <c r="C99" s="31"/>
      <c r="D99" s="31" t="s">
        <v>429</v>
      </c>
      <c r="E99" s="31"/>
      <c r="F99" s="102" t="e">
        <f>F100+F101+#REF!+F102</f>
        <v>#REF!</v>
      </c>
      <c r="G99" s="114" t="e">
        <f>G100+G101+#REF!+G102</f>
        <v>#REF!</v>
      </c>
      <c r="H99" s="115" t="e">
        <f t="shared" si="17"/>
        <v>#REF!</v>
      </c>
      <c r="I99" s="116" t="e">
        <f>F99/F214</f>
        <v>#REF!</v>
      </c>
      <c r="J99" s="20"/>
      <c r="K99" s="20" t="e">
        <f>K100+K101+#REF!+K102</f>
        <v>#REF!</v>
      </c>
      <c r="L99" s="20" t="e">
        <f>L100+L101+#REF!+L102</f>
        <v>#REF!</v>
      </c>
      <c r="M99" s="20" t="e">
        <f>M100+M101+#REF!+M102+M103</f>
        <v>#REF!</v>
      </c>
      <c r="N99" s="20" t="e">
        <f>N100+N101+#REF!+N102+N103</f>
        <v>#REF!</v>
      </c>
      <c r="O99" s="20" t="e">
        <f>O100+O101+#REF!+O102+O103</f>
        <v>#REF!</v>
      </c>
      <c r="P99" s="20">
        <f>P100+P101+P102+P103</f>
        <v>30000</v>
      </c>
      <c r="Q99" s="20">
        <f>Q100+Q101+Q102+Q103</f>
        <v>0</v>
      </c>
      <c r="R99" s="20">
        <f>R100+R101+R102+R103</f>
        <v>4387</v>
      </c>
      <c r="S99" s="20">
        <f>S100+S101+S104+S105</f>
        <v>17830</v>
      </c>
      <c r="T99" s="686">
        <f t="shared" si="15"/>
        <v>0.000554810621944263</v>
      </c>
    </row>
    <row r="100" spans="1:20" ht="16.5" customHeight="1">
      <c r="A100" s="195"/>
      <c r="B100" s="8" t="s">
        <v>862</v>
      </c>
      <c r="C100" s="18"/>
      <c r="D100" s="18"/>
      <c r="E100" s="18" t="s">
        <v>102</v>
      </c>
      <c r="F100" s="5">
        <v>490</v>
      </c>
      <c r="G100" s="112">
        <v>500</v>
      </c>
      <c r="H100" s="110">
        <f t="shared" si="17"/>
        <v>102.04081632653062</v>
      </c>
      <c r="I100" s="6" t="e">
        <f>F100/F214</f>
        <v>#REF!</v>
      </c>
      <c r="J100" s="8"/>
      <c r="K100" s="8">
        <v>0</v>
      </c>
      <c r="L100" s="8">
        <v>0</v>
      </c>
      <c r="M100" s="8">
        <v>450</v>
      </c>
      <c r="N100" s="8">
        <v>0</v>
      </c>
      <c r="O100" s="8">
        <v>0</v>
      </c>
      <c r="P100" s="8">
        <v>600</v>
      </c>
      <c r="Q100" s="8">
        <v>0</v>
      </c>
      <c r="R100" s="8">
        <v>0</v>
      </c>
      <c r="S100" s="8">
        <v>400</v>
      </c>
      <c r="T100" s="686">
        <f t="shared" si="15"/>
        <v>1.2446676880409715E-05</v>
      </c>
    </row>
    <row r="101" spans="1:20" ht="23.25" customHeight="1">
      <c r="A101" s="195"/>
      <c r="B101" s="208" t="s">
        <v>187</v>
      </c>
      <c r="C101" s="18"/>
      <c r="D101" s="18"/>
      <c r="E101" s="18" t="s">
        <v>103</v>
      </c>
      <c r="F101" s="5">
        <v>41300</v>
      </c>
      <c r="G101" s="112">
        <v>53461</v>
      </c>
      <c r="H101" s="110">
        <f t="shared" si="17"/>
        <v>129.4455205811138</v>
      </c>
      <c r="I101" s="6" t="e">
        <f>F101/F214</f>
        <v>#REF!</v>
      </c>
      <c r="J101" s="8"/>
      <c r="K101" s="8">
        <v>0</v>
      </c>
      <c r="L101" s="8">
        <v>0</v>
      </c>
      <c r="M101" s="8">
        <v>39124</v>
      </c>
      <c r="N101" s="8">
        <v>0</v>
      </c>
      <c r="O101" s="8">
        <v>0</v>
      </c>
      <c r="P101" s="8">
        <v>29000</v>
      </c>
      <c r="Q101" s="8">
        <v>0</v>
      </c>
      <c r="R101" s="8">
        <v>4000</v>
      </c>
      <c r="S101" s="8">
        <v>17000</v>
      </c>
      <c r="T101" s="686">
        <f t="shared" si="15"/>
        <v>0.0005289837674174128</v>
      </c>
    </row>
    <row r="102" spans="1:20" ht="17.25" customHeight="1" hidden="1">
      <c r="A102" s="195"/>
      <c r="B102" s="11" t="s">
        <v>858</v>
      </c>
      <c r="C102" s="18"/>
      <c r="D102" s="18"/>
      <c r="E102" s="18" t="s">
        <v>101</v>
      </c>
      <c r="F102" s="5">
        <v>9420</v>
      </c>
      <c r="G102" s="112">
        <v>8420</v>
      </c>
      <c r="H102" s="110">
        <f t="shared" si="17"/>
        <v>89.38428874734608</v>
      </c>
      <c r="I102" s="6" t="e">
        <f>F102/F214</f>
        <v>#REF!</v>
      </c>
      <c r="J102" s="8"/>
      <c r="K102" s="8">
        <v>0</v>
      </c>
      <c r="L102" s="8">
        <v>0</v>
      </c>
      <c r="M102" s="8">
        <v>220</v>
      </c>
      <c r="N102" s="8">
        <v>0</v>
      </c>
      <c r="O102" s="8">
        <v>0</v>
      </c>
      <c r="P102" s="8">
        <v>400</v>
      </c>
      <c r="Q102" s="8">
        <v>0</v>
      </c>
      <c r="R102" s="8">
        <v>387</v>
      </c>
      <c r="S102" s="8">
        <v>0</v>
      </c>
      <c r="T102" s="686">
        <f t="shared" si="15"/>
        <v>0</v>
      </c>
    </row>
    <row r="103" spans="1:20" ht="18.75" customHeight="1" hidden="1">
      <c r="A103" s="195"/>
      <c r="B103" s="11" t="s">
        <v>890</v>
      </c>
      <c r="C103" s="18"/>
      <c r="D103" s="18"/>
      <c r="E103" s="18" t="s">
        <v>871</v>
      </c>
      <c r="F103" s="5"/>
      <c r="G103" s="112"/>
      <c r="H103" s="110"/>
      <c r="I103" s="6"/>
      <c r="J103" s="8"/>
      <c r="K103" s="8"/>
      <c r="L103" s="8"/>
      <c r="M103" s="8">
        <v>1732</v>
      </c>
      <c r="N103" s="8">
        <v>0</v>
      </c>
      <c r="O103" s="8">
        <v>0</v>
      </c>
      <c r="P103" s="8">
        <v>0</v>
      </c>
      <c r="Q103" s="8">
        <v>0</v>
      </c>
      <c r="R103" s="8">
        <v>0</v>
      </c>
      <c r="S103" s="8"/>
      <c r="T103" s="686">
        <f t="shared" si="15"/>
        <v>0</v>
      </c>
    </row>
    <row r="104" spans="1:20" ht="13.5" customHeight="1">
      <c r="A104" s="195"/>
      <c r="B104" s="11" t="s">
        <v>868</v>
      </c>
      <c r="C104" s="18"/>
      <c r="D104" s="18"/>
      <c r="E104" s="18" t="s">
        <v>104</v>
      </c>
      <c r="F104" s="5"/>
      <c r="G104" s="112"/>
      <c r="H104" s="110"/>
      <c r="I104" s="6"/>
      <c r="J104" s="8"/>
      <c r="K104" s="8"/>
      <c r="L104" s="8"/>
      <c r="M104" s="8"/>
      <c r="N104" s="8"/>
      <c r="O104" s="8"/>
      <c r="P104" s="8"/>
      <c r="Q104" s="8"/>
      <c r="R104" s="8"/>
      <c r="S104" s="8">
        <v>0</v>
      </c>
      <c r="T104" s="686">
        <f t="shared" si="15"/>
        <v>0</v>
      </c>
    </row>
    <row r="105" spans="1:20" ht="15.75" customHeight="1">
      <c r="A105" s="195"/>
      <c r="B105" s="11" t="s">
        <v>858</v>
      </c>
      <c r="C105" s="18"/>
      <c r="D105" s="18"/>
      <c r="E105" s="18" t="s">
        <v>101</v>
      </c>
      <c r="F105" s="5"/>
      <c r="G105" s="112"/>
      <c r="H105" s="110"/>
      <c r="I105" s="6"/>
      <c r="J105" s="8"/>
      <c r="K105" s="8"/>
      <c r="L105" s="8"/>
      <c r="M105" s="8"/>
      <c r="N105" s="8"/>
      <c r="O105" s="8"/>
      <c r="P105" s="8"/>
      <c r="Q105" s="8"/>
      <c r="R105" s="8"/>
      <c r="S105" s="8">
        <v>430</v>
      </c>
      <c r="T105" s="686">
        <f t="shared" si="15"/>
        <v>1.3380177646440443E-05</v>
      </c>
    </row>
    <row r="106" spans="1:20" s="107" customFormat="1" ht="18.75" customHeight="1">
      <c r="A106" s="684" t="s">
        <v>860</v>
      </c>
      <c r="B106" s="29" t="s">
        <v>440</v>
      </c>
      <c r="C106" s="31"/>
      <c r="D106" s="31" t="s">
        <v>439</v>
      </c>
      <c r="E106" s="31"/>
      <c r="F106" s="102"/>
      <c r="G106" s="114">
        <f>G107+G108+G109+G110+G111+G112</f>
        <v>302185</v>
      </c>
      <c r="H106" s="115"/>
      <c r="I106" s="116"/>
      <c r="J106" s="20"/>
      <c r="K106" s="20">
        <f aca="true" t="shared" si="18" ref="K106:P106">K107+K108+K109+K110+K111+K112</f>
        <v>0</v>
      </c>
      <c r="L106" s="20">
        <f t="shared" si="18"/>
        <v>0</v>
      </c>
      <c r="M106" s="20">
        <f t="shared" si="18"/>
        <v>159655</v>
      </c>
      <c r="N106" s="20">
        <f t="shared" si="18"/>
        <v>0</v>
      </c>
      <c r="O106" s="20">
        <f t="shared" si="18"/>
        <v>0</v>
      </c>
      <c r="P106" s="255">
        <f t="shared" si="18"/>
        <v>252149</v>
      </c>
      <c r="Q106" s="255">
        <f>Q107+Q108+Q109+Q110+Q111+Q112</f>
        <v>0</v>
      </c>
      <c r="R106" s="255">
        <f>R107+R108+R109+R110+R111+R112</f>
        <v>0</v>
      </c>
      <c r="S106" s="255">
        <f>S107+S108+S109+S110+S111+S112</f>
        <v>115902</v>
      </c>
      <c r="T106" s="686">
        <f t="shared" si="15"/>
        <v>0.003606486859483117</v>
      </c>
    </row>
    <row r="107" spans="1:20" ht="18.75" customHeight="1">
      <c r="A107" s="195"/>
      <c r="B107" s="8" t="s">
        <v>862</v>
      </c>
      <c r="C107" s="18"/>
      <c r="D107" s="18"/>
      <c r="E107" s="18" t="s">
        <v>102</v>
      </c>
      <c r="F107" s="5"/>
      <c r="G107" s="112">
        <v>330</v>
      </c>
      <c r="H107" s="110"/>
      <c r="I107" s="6"/>
      <c r="J107" s="8"/>
      <c r="K107" s="8">
        <v>0</v>
      </c>
      <c r="L107" s="8"/>
      <c r="M107" s="8">
        <v>0</v>
      </c>
      <c r="N107" s="8">
        <v>0</v>
      </c>
      <c r="O107" s="8">
        <v>0</v>
      </c>
      <c r="P107" s="8">
        <v>300</v>
      </c>
      <c r="Q107" s="8">
        <v>0</v>
      </c>
      <c r="R107" s="8">
        <v>0</v>
      </c>
      <c r="S107" s="8">
        <v>300</v>
      </c>
      <c r="T107" s="686">
        <f t="shared" si="15"/>
        <v>9.335007660307286E-06</v>
      </c>
    </row>
    <row r="108" spans="1:20" ht="23.25" customHeight="1">
      <c r="A108" s="195"/>
      <c r="B108" s="208" t="s">
        <v>187</v>
      </c>
      <c r="C108" s="18"/>
      <c r="D108" s="18"/>
      <c r="E108" s="18" t="s">
        <v>103</v>
      </c>
      <c r="F108" s="5"/>
      <c r="G108" s="112">
        <v>195458</v>
      </c>
      <c r="H108" s="110"/>
      <c r="I108" s="6"/>
      <c r="J108" s="8"/>
      <c r="K108" s="8">
        <v>0</v>
      </c>
      <c r="L108" s="8">
        <v>0</v>
      </c>
      <c r="M108" s="8">
        <v>84152</v>
      </c>
      <c r="N108" s="8">
        <v>0</v>
      </c>
      <c r="O108" s="8">
        <v>0</v>
      </c>
      <c r="P108" s="8">
        <v>180558</v>
      </c>
      <c r="Q108" s="8">
        <v>0</v>
      </c>
      <c r="R108" s="8">
        <v>0</v>
      </c>
      <c r="S108" s="8">
        <v>53900</v>
      </c>
      <c r="T108" s="686">
        <f t="shared" si="15"/>
        <v>0.001677189709635209</v>
      </c>
    </row>
    <row r="109" spans="1:20" ht="16.5" customHeight="1">
      <c r="A109" s="195"/>
      <c r="B109" s="11" t="s">
        <v>868</v>
      </c>
      <c r="C109" s="18"/>
      <c r="D109" s="18"/>
      <c r="E109" s="18" t="s">
        <v>104</v>
      </c>
      <c r="F109" s="5"/>
      <c r="G109" s="112">
        <v>92116</v>
      </c>
      <c r="H109" s="110"/>
      <c r="I109" s="6"/>
      <c r="J109" s="8"/>
      <c r="K109" s="8">
        <v>0</v>
      </c>
      <c r="L109" s="8">
        <v>0</v>
      </c>
      <c r="M109" s="8">
        <v>69767</v>
      </c>
      <c r="N109" s="8">
        <v>0</v>
      </c>
      <c r="O109" s="8">
        <v>0</v>
      </c>
      <c r="P109" s="8">
        <v>68098</v>
      </c>
      <c r="Q109" s="8">
        <v>0</v>
      </c>
      <c r="R109" s="8">
        <v>0</v>
      </c>
      <c r="S109" s="8">
        <v>58087</v>
      </c>
      <c r="T109" s="686">
        <f t="shared" si="15"/>
        <v>0.0018074752998808977</v>
      </c>
    </row>
    <row r="110" spans="1:20" ht="15" customHeight="1">
      <c r="A110" s="195"/>
      <c r="B110" s="11" t="s">
        <v>553</v>
      </c>
      <c r="C110" s="18"/>
      <c r="D110" s="18"/>
      <c r="E110" s="18" t="s">
        <v>552</v>
      </c>
      <c r="F110" s="5"/>
      <c r="G110" s="112">
        <v>200</v>
      </c>
      <c r="H110" s="110"/>
      <c r="I110" s="6"/>
      <c r="J110" s="8"/>
      <c r="K110" s="8">
        <v>0</v>
      </c>
      <c r="L110" s="8">
        <v>0</v>
      </c>
      <c r="M110" s="8">
        <v>200</v>
      </c>
      <c r="N110" s="8">
        <v>0</v>
      </c>
      <c r="O110" s="8">
        <v>0</v>
      </c>
      <c r="P110" s="8">
        <v>230</v>
      </c>
      <c r="Q110" s="8">
        <v>0</v>
      </c>
      <c r="R110" s="8">
        <v>0</v>
      </c>
      <c r="S110" s="8">
        <v>0</v>
      </c>
      <c r="T110" s="686">
        <f t="shared" si="15"/>
        <v>0</v>
      </c>
    </row>
    <row r="111" spans="1:20" ht="15" customHeight="1">
      <c r="A111" s="195"/>
      <c r="B111" s="11" t="s">
        <v>858</v>
      </c>
      <c r="C111" s="18"/>
      <c r="D111" s="18"/>
      <c r="E111" s="18" t="s">
        <v>101</v>
      </c>
      <c r="F111" s="5"/>
      <c r="G111" s="112">
        <v>13881</v>
      </c>
      <c r="H111" s="110"/>
      <c r="I111" s="6"/>
      <c r="J111" s="8"/>
      <c r="K111" s="8">
        <v>0</v>
      </c>
      <c r="L111" s="8">
        <v>0</v>
      </c>
      <c r="M111" s="8">
        <v>4650</v>
      </c>
      <c r="N111" s="8">
        <v>0</v>
      </c>
      <c r="O111" s="8">
        <v>0</v>
      </c>
      <c r="P111" s="8">
        <v>1270</v>
      </c>
      <c r="Q111" s="8">
        <v>0</v>
      </c>
      <c r="R111" s="8">
        <v>0</v>
      </c>
      <c r="S111" s="8">
        <v>350</v>
      </c>
      <c r="T111" s="686">
        <f t="shared" si="15"/>
        <v>1.0890842270358501E-05</v>
      </c>
    </row>
    <row r="112" spans="1:20" ht="14.25" customHeight="1">
      <c r="A112" s="195"/>
      <c r="B112" s="11" t="s">
        <v>890</v>
      </c>
      <c r="C112" s="18"/>
      <c r="D112" s="18"/>
      <c r="E112" s="18" t="s">
        <v>105</v>
      </c>
      <c r="F112" s="5"/>
      <c r="G112" s="112">
        <v>200</v>
      </c>
      <c r="H112" s="110"/>
      <c r="I112" s="6"/>
      <c r="J112" s="8"/>
      <c r="K112" s="8">
        <v>0</v>
      </c>
      <c r="L112" s="8">
        <v>0</v>
      </c>
      <c r="M112" s="8">
        <v>886</v>
      </c>
      <c r="N112" s="8">
        <v>0</v>
      </c>
      <c r="O112" s="8">
        <v>0</v>
      </c>
      <c r="P112" s="8">
        <v>1693</v>
      </c>
      <c r="Q112" s="8">
        <v>0</v>
      </c>
      <c r="R112" s="8">
        <v>0</v>
      </c>
      <c r="S112" s="8">
        <v>3265</v>
      </c>
      <c r="T112" s="686">
        <f t="shared" si="15"/>
        <v>0.0001015960000363443</v>
      </c>
    </row>
    <row r="113" spans="1:20" ht="18" customHeight="1" hidden="1">
      <c r="A113" s="687" t="s">
        <v>902</v>
      </c>
      <c r="B113" s="7" t="s">
        <v>445</v>
      </c>
      <c r="C113" s="27"/>
      <c r="D113" s="27" t="s">
        <v>444</v>
      </c>
      <c r="E113" s="27"/>
      <c r="F113" s="9">
        <f>F114+F115+F116+F117+F118</f>
        <v>456020</v>
      </c>
      <c r="G113" s="111">
        <f>G114+G115+G116+G117+G118</f>
        <v>206807</v>
      </c>
      <c r="H113" s="108">
        <f aca="true" t="shared" si="19" ref="H113:H118">IF(F113&gt;0,G113/F113*100,"")</f>
        <v>45.350423227051444</v>
      </c>
      <c r="I113" s="10" t="e">
        <f>F113/F214</f>
        <v>#REF!</v>
      </c>
      <c r="J113" s="7"/>
      <c r="K113" s="7">
        <f>K114+K115+K116+K117+K118</f>
        <v>0</v>
      </c>
      <c r="L113" s="7">
        <f>L114+L115+L116+L117+L118</f>
        <v>0</v>
      </c>
      <c r="M113" s="7">
        <f>M114+M115+M116+M117+M118</f>
        <v>0</v>
      </c>
      <c r="N113" s="7"/>
      <c r="O113" s="7"/>
      <c r="P113" s="8"/>
      <c r="Q113" s="8"/>
      <c r="R113" s="8"/>
      <c r="S113" s="8"/>
      <c r="T113" s="686">
        <f t="shared" si="15"/>
        <v>0</v>
      </c>
    </row>
    <row r="114" spans="1:20" ht="15" customHeight="1" hidden="1">
      <c r="A114" s="195"/>
      <c r="B114" s="8" t="s">
        <v>862</v>
      </c>
      <c r="C114" s="18"/>
      <c r="D114" s="18"/>
      <c r="E114" s="18" t="s">
        <v>863</v>
      </c>
      <c r="F114" s="5">
        <v>0</v>
      </c>
      <c r="G114" s="112">
        <v>0</v>
      </c>
      <c r="H114" s="110">
        <f t="shared" si="19"/>
      </c>
      <c r="I114" s="6" t="e">
        <f>F114/F214</f>
        <v>#REF!</v>
      </c>
      <c r="J114" s="8"/>
      <c r="K114" s="8">
        <v>0</v>
      </c>
      <c r="L114" s="8">
        <v>0</v>
      </c>
      <c r="M114" s="8">
        <v>0</v>
      </c>
      <c r="N114" s="8"/>
      <c r="O114" s="8"/>
      <c r="P114" s="8"/>
      <c r="Q114" s="8"/>
      <c r="R114" s="8"/>
      <c r="S114" s="8"/>
      <c r="T114" s="686">
        <f t="shared" si="15"/>
        <v>0</v>
      </c>
    </row>
    <row r="115" spans="1:20" ht="54" customHeight="1" hidden="1">
      <c r="A115" s="195"/>
      <c r="B115" s="11" t="s">
        <v>900</v>
      </c>
      <c r="C115" s="18"/>
      <c r="D115" s="18"/>
      <c r="E115" s="18" t="s">
        <v>867</v>
      </c>
      <c r="F115" s="5">
        <v>310332</v>
      </c>
      <c r="G115" s="112">
        <v>110706</v>
      </c>
      <c r="H115" s="110">
        <f t="shared" si="19"/>
        <v>35.67340783419048</v>
      </c>
      <c r="I115" s="6" t="e">
        <f>F115/F214</f>
        <v>#REF!</v>
      </c>
      <c r="J115" s="8"/>
      <c r="K115" s="8">
        <v>0</v>
      </c>
      <c r="L115" s="8">
        <v>0</v>
      </c>
      <c r="M115" s="8">
        <v>0</v>
      </c>
      <c r="N115" s="8"/>
      <c r="O115" s="8"/>
      <c r="P115" s="8"/>
      <c r="Q115" s="8"/>
      <c r="R115" s="8"/>
      <c r="S115" s="8"/>
      <c r="T115" s="686">
        <f t="shared" si="15"/>
        <v>0</v>
      </c>
    </row>
    <row r="116" spans="1:20" ht="18" customHeight="1" hidden="1">
      <c r="A116" s="195"/>
      <c r="B116" s="11" t="s">
        <v>868</v>
      </c>
      <c r="C116" s="18"/>
      <c r="D116" s="18"/>
      <c r="E116" s="18" t="s">
        <v>869</v>
      </c>
      <c r="F116" s="5">
        <v>132288</v>
      </c>
      <c r="G116" s="112">
        <v>89905</v>
      </c>
      <c r="H116" s="110">
        <f t="shared" si="19"/>
        <v>67.96156869859699</v>
      </c>
      <c r="I116" s="6" t="e">
        <f>F116/F214</f>
        <v>#REF!</v>
      </c>
      <c r="J116" s="8"/>
      <c r="K116" s="8">
        <v>0</v>
      </c>
      <c r="L116" s="8">
        <v>0</v>
      </c>
      <c r="M116" s="8">
        <v>0</v>
      </c>
      <c r="N116" s="8"/>
      <c r="O116" s="8"/>
      <c r="P116" s="8"/>
      <c r="Q116" s="8"/>
      <c r="R116" s="8"/>
      <c r="S116" s="8"/>
      <c r="T116" s="686">
        <f t="shared" si="15"/>
        <v>0</v>
      </c>
    </row>
    <row r="117" spans="1:20" ht="30" customHeight="1" hidden="1">
      <c r="A117" s="195"/>
      <c r="B117" s="11" t="s">
        <v>874</v>
      </c>
      <c r="C117" s="18"/>
      <c r="D117" s="18"/>
      <c r="E117" s="18" t="s">
        <v>875</v>
      </c>
      <c r="F117" s="5">
        <v>400</v>
      </c>
      <c r="G117" s="112">
        <v>317</v>
      </c>
      <c r="H117" s="110">
        <f t="shared" si="19"/>
        <v>79.25</v>
      </c>
      <c r="I117" s="6" t="e">
        <f>F117/F214</f>
        <v>#REF!</v>
      </c>
      <c r="J117" s="8"/>
      <c r="K117" s="8">
        <v>0</v>
      </c>
      <c r="L117" s="8">
        <v>0</v>
      </c>
      <c r="M117" s="8">
        <v>0</v>
      </c>
      <c r="N117" s="8"/>
      <c r="O117" s="8"/>
      <c r="P117" s="8"/>
      <c r="Q117" s="8"/>
      <c r="R117" s="8"/>
      <c r="S117" s="8"/>
      <c r="T117" s="686">
        <f t="shared" si="15"/>
        <v>0</v>
      </c>
    </row>
    <row r="118" spans="1:20" ht="20.25" customHeight="1" hidden="1">
      <c r="A118" s="195"/>
      <c r="B118" s="11" t="s">
        <v>858</v>
      </c>
      <c r="C118" s="18"/>
      <c r="D118" s="18"/>
      <c r="E118" s="18" t="s">
        <v>859</v>
      </c>
      <c r="F118" s="5">
        <v>13000</v>
      </c>
      <c r="G118" s="112">
        <v>5879</v>
      </c>
      <c r="H118" s="110">
        <f t="shared" si="19"/>
        <v>45.223076923076924</v>
      </c>
      <c r="I118" s="6" t="e">
        <f>F118/F214</f>
        <v>#REF!</v>
      </c>
      <c r="J118" s="8"/>
      <c r="K118" s="8">
        <v>0</v>
      </c>
      <c r="L118" s="8">
        <v>0</v>
      </c>
      <c r="M118" s="8">
        <v>0</v>
      </c>
      <c r="N118" s="8"/>
      <c r="O118" s="8"/>
      <c r="P118" s="8"/>
      <c r="Q118" s="8"/>
      <c r="R118" s="8"/>
      <c r="S118" s="8"/>
      <c r="T118" s="686">
        <f t="shared" si="15"/>
        <v>0</v>
      </c>
    </row>
    <row r="119" spans="1:20" ht="20.25" customHeight="1" hidden="1">
      <c r="A119" s="687" t="s">
        <v>902</v>
      </c>
      <c r="B119" s="4" t="s">
        <v>357</v>
      </c>
      <c r="C119" s="27"/>
      <c r="D119" s="27" t="s">
        <v>471</v>
      </c>
      <c r="E119" s="27"/>
      <c r="F119" s="9"/>
      <c r="G119" s="111">
        <f>G120</f>
        <v>92</v>
      </c>
      <c r="H119" s="108"/>
      <c r="I119" s="10"/>
      <c r="J119" s="7"/>
      <c r="K119" s="7">
        <f aca="true" t="shared" si="20" ref="K119:R119">K120</f>
        <v>0</v>
      </c>
      <c r="L119" s="7">
        <f t="shared" si="20"/>
        <v>0</v>
      </c>
      <c r="M119" s="7">
        <f t="shared" si="20"/>
        <v>387</v>
      </c>
      <c r="N119" s="7">
        <f t="shared" si="20"/>
        <v>0</v>
      </c>
      <c r="O119" s="7">
        <f t="shared" si="20"/>
        <v>0</v>
      </c>
      <c r="P119" s="121">
        <f t="shared" si="20"/>
        <v>0</v>
      </c>
      <c r="Q119" s="121">
        <f t="shared" si="20"/>
        <v>0</v>
      </c>
      <c r="R119" s="121">
        <f t="shared" si="20"/>
        <v>0</v>
      </c>
      <c r="S119" s="8"/>
      <c r="T119" s="686">
        <f t="shared" si="15"/>
        <v>0</v>
      </c>
    </row>
    <row r="120" spans="1:20" ht="24" customHeight="1" hidden="1">
      <c r="A120" s="195"/>
      <c r="B120" s="11" t="s">
        <v>890</v>
      </c>
      <c r="C120" s="18"/>
      <c r="D120" s="18"/>
      <c r="E120" s="18" t="s">
        <v>871</v>
      </c>
      <c r="F120" s="5"/>
      <c r="G120" s="112">
        <v>92</v>
      </c>
      <c r="H120" s="110"/>
      <c r="I120" s="6"/>
      <c r="J120" s="8"/>
      <c r="K120" s="8">
        <v>0</v>
      </c>
      <c r="L120" s="8">
        <v>0</v>
      </c>
      <c r="M120" s="8">
        <v>387</v>
      </c>
      <c r="N120" s="8">
        <v>0</v>
      </c>
      <c r="O120" s="8">
        <v>0</v>
      </c>
      <c r="P120" s="8">
        <v>0</v>
      </c>
      <c r="Q120" s="8">
        <v>0</v>
      </c>
      <c r="R120" s="8">
        <v>0</v>
      </c>
      <c r="S120" s="8"/>
      <c r="T120" s="686">
        <f t="shared" si="15"/>
        <v>0</v>
      </c>
    </row>
    <row r="121" spans="1:20" ht="19.5" customHeight="1" hidden="1">
      <c r="A121" s="687" t="s">
        <v>840</v>
      </c>
      <c r="B121" s="113" t="s">
        <v>903</v>
      </c>
      <c r="C121" s="18" t="s">
        <v>472</v>
      </c>
      <c r="D121" s="18"/>
      <c r="E121" s="18"/>
      <c r="F121" s="5" t="e">
        <f>F124</f>
        <v>#REF!</v>
      </c>
      <c r="G121" s="111" t="e">
        <f>G124+G122</f>
        <v>#REF!</v>
      </c>
      <c r="H121" s="108" t="e">
        <f>IF(F121&gt;0,G121/F121*100,"")</f>
        <v>#REF!</v>
      </c>
      <c r="I121" s="10" t="e">
        <f>F121/F214</f>
        <v>#REF!</v>
      </c>
      <c r="J121" s="7"/>
      <c r="K121" s="7" t="e">
        <f>K124+K122</f>
        <v>#REF!</v>
      </c>
      <c r="L121" s="7" t="e">
        <f>L124+L122</f>
        <v>#REF!</v>
      </c>
      <c r="M121" s="7">
        <f aca="true" t="shared" si="21" ref="M121:R121">M122+M124</f>
        <v>25587</v>
      </c>
      <c r="N121" s="7">
        <f t="shared" si="21"/>
        <v>0</v>
      </c>
      <c r="O121" s="7">
        <f t="shared" si="21"/>
        <v>0</v>
      </c>
      <c r="P121" s="121">
        <f t="shared" si="21"/>
        <v>0</v>
      </c>
      <c r="Q121" s="121">
        <f t="shared" si="21"/>
        <v>44118</v>
      </c>
      <c r="R121" s="121">
        <f t="shared" si="21"/>
        <v>0</v>
      </c>
      <c r="S121" s="8"/>
      <c r="T121" s="686">
        <f t="shared" si="15"/>
        <v>0</v>
      </c>
    </row>
    <row r="122" spans="1:20" ht="19.5" customHeight="1" hidden="1">
      <c r="A122" s="684" t="s">
        <v>850</v>
      </c>
      <c r="B122" s="20" t="s">
        <v>475</v>
      </c>
      <c r="C122" s="18"/>
      <c r="D122" s="27" t="s">
        <v>474</v>
      </c>
      <c r="E122" s="27"/>
      <c r="F122" s="9"/>
      <c r="G122" s="111">
        <f>G123</f>
        <v>239</v>
      </c>
      <c r="H122" s="108"/>
      <c r="I122" s="10"/>
      <c r="J122" s="7"/>
      <c r="K122" s="7">
        <f aca="true" t="shared" si="22" ref="K122:R122">K123</f>
        <v>0</v>
      </c>
      <c r="L122" s="7">
        <f t="shared" si="22"/>
        <v>0</v>
      </c>
      <c r="M122" s="7">
        <f t="shared" si="22"/>
        <v>25283</v>
      </c>
      <c r="N122" s="7">
        <f t="shared" si="22"/>
        <v>0</v>
      </c>
      <c r="O122" s="7">
        <f t="shared" si="22"/>
        <v>0</v>
      </c>
      <c r="P122" s="121">
        <f t="shared" si="22"/>
        <v>0</v>
      </c>
      <c r="Q122" s="121">
        <f t="shared" si="22"/>
        <v>0</v>
      </c>
      <c r="R122" s="121">
        <f t="shared" si="22"/>
        <v>0</v>
      </c>
      <c r="S122" s="8"/>
      <c r="T122" s="686">
        <f t="shared" si="15"/>
        <v>0</v>
      </c>
    </row>
    <row r="123" spans="1:20" ht="27.75" customHeight="1" hidden="1">
      <c r="A123" s="687"/>
      <c r="B123" s="20" t="s">
        <v>890</v>
      </c>
      <c r="C123" s="18"/>
      <c r="D123" s="18"/>
      <c r="E123" s="18" t="s">
        <v>871</v>
      </c>
      <c r="F123" s="5"/>
      <c r="G123" s="114">
        <v>239</v>
      </c>
      <c r="H123" s="115"/>
      <c r="I123" s="116"/>
      <c r="J123" s="20"/>
      <c r="K123" s="20">
        <v>0</v>
      </c>
      <c r="L123" s="20">
        <v>0</v>
      </c>
      <c r="M123" s="8">
        <v>25283</v>
      </c>
      <c r="N123" s="8">
        <v>0</v>
      </c>
      <c r="O123" s="8">
        <v>0</v>
      </c>
      <c r="P123" s="8">
        <v>0</v>
      </c>
      <c r="Q123" s="8">
        <v>0</v>
      </c>
      <c r="R123" s="8">
        <v>0</v>
      </c>
      <c r="S123" s="8"/>
      <c r="T123" s="686">
        <f t="shared" si="15"/>
        <v>0</v>
      </c>
    </row>
    <row r="124" spans="1:20" ht="14.25" customHeight="1" hidden="1">
      <c r="A124" s="195" t="s">
        <v>902</v>
      </c>
      <c r="B124" s="4" t="s">
        <v>367</v>
      </c>
      <c r="C124" s="27"/>
      <c r="D124" s="27" t="s">
        <v>366</v>
      </c>
      <c r="E124" s="27"/>
      <c r="F124" s="9" t="e">
        <f>#REF!+F125</f>
        <v>#REF!</v>
      </c>
      <c r="G124" s="111" t="e">
        <f>#REF!+G125</f>
        <v>#REF!</v>
      </c>
      <c r="H124" s="108" t="e">
        <f>IF(F124&gt;0,G124/F124*100,"")</f>
        <v>#REF!</v>
      </c>
      <c r="I124" s="10" t="e">
        <f>F124/F214</f>
        <v>#REF!</v>
      </c>
      <c r="J124" s="7"/>
      <c r="K124" s="7" t="e">
        <f>#REF!+K125</f>
        <v>#REF!</v>
      </c>
      <c r="L124" s="7" t="e">
        <f>#REF!+L125</f>
        <v>#REF!</v>
      </c>
      <c r="M124" s="7">
        <f aca="true" t="shared" si="23" ref="M124:S124">M125</f>
        <v>304</v>
      </c>
      <c r="N124" s="7">
        <f t="shared" si="23"/>
        <v>0</v>
      </c>
      <c r="O124" s="7">
        <f t="shared" si="23"/>
        <v>0</v>
      </c>
      <c r="P124" s="121">
        <f t="shared" si="23"/>
        <v>0</v>
      </c>
      <c r="Q124" s="121">
        <f t="shared" si="23"/>
        <v>44118</v>
      </c>
      <c r="R124" s="121">
        <f t="shared" si="23"/>
        <v>0</v>
      </c>
      <c r="S124" s="121">
        <f t="shared" si="23"/>
        <v>0</v>
      </c>
      <c r="T124" s="686">
        <f t="shared" si="15"/>
        <v>0</v>
      </c>
    </row>
    <row r="125" spans="1:20" ht="15.75" customHeight="1" hidden="1">
      <c r="A125" s="195"/>
      <c r="B125" s="11" t="s">
        <v>901</v>
      </c>
      <c r="C125" s="18"/>
      <c r="D125" s="18"/>
      <c r="E125" s="18" t="s">
        <v>105</v>
      </c>
      <c r="F125" s="5">
        <v>700</v>
      </c>
      <c r="G125" s="112">
        <v>700</v>
      </c>
      <c r="H125" s="110">
        <f>IF(F125&gt;0,G125/F125*100,"")</f>
        <v>100</v>
      </c>
      <c r="I125" s="6" t="e">
        <f>F125/F214</f>
        <v>#REF!</v>
      </c>
      <c r="J125" s="8"/>
      <c r="K125" s="8"/>
      <c r="L125" s="8"/>
      <c r="M125" s="8">
        <v>304</v>
      </c>
      <c r="N125" s="8">
        <v>0</v>
      </c>
      <c r="O125" s="8">
        <v>0</v>
      </c>
      <c r="P125" s="8">
        <v>0</v>
      </c>
      <c r="Q125" s="8">
        <v>44118</v>
      </c>
      <c r="R125" s="8">
        <v>0</v>
      </c>
      <c r="S125" s="8">
        <v>0</v>
      </c>
      <c r="T125" s="686">
        <f t="shared" si="15"/>
        <v>0</v>
      </c>
    </row>
    <row r="126" spans="1:20" ht="21.75" customHeight="1">
      <c r="A126" s="680" t="s">
        <v>204</v>
      </c>
      <c r="B126" s="439" t="s">
        <v>704</v>
      </c>
      <c r="C126" s="433">
        <v>803</v>
      </c>
      <c r="D126" s="451"/>
      <c r="E126" s="433"/>
      <c r="F126" s="447"/>
      <c r="G126" s="445"/>
      <c r="H126" s="441"/>
      <c r="I126" s="446"/>
      <c r="J126" s="366"/>
      <c r="K126" s="366"/>
      <c r="L126" s="366"/>
      <c r="M126" s="366"/>
      <c r="N126" s="366"/>
      <c r="O126" s="366"/>
      <c r="P126" s="366" t="e">
        <f>#REF!</f>
        <v>#REF!</v>
      </c>
      <c r="Q126" s="366" t="e">
        <f>#REF!</f>
        <v>#REF!</v>
      </c>
      <c r="R126" s="366" t="e">
        <f>#REF!</f>
        <v>#REF!</v>
      </c>
      <c r="S126" s="366">
        <f>S127</f>
        <v>72046</v>
      </c>
      <c r="T126" s="683">
        <f t="shared" si="15"/>
        <v>0.002241833206314996</v>
      </c>
    </row>
    <row r="127" spans="1:20" s="708" customFormat="1" ht="21.75" customHeight="1">
      <c r="A127" s="699" t="s">
        <v>850</v>
      </c>
      <c r="B127" s="700" t="s">
        <v>40</v>
      </c>
      <c r="C127" s="701"/>
      <c r="D127" s="701">
        <v>80309</v>
      </c>
      <c r="E127" s="701"/>
      <c r="F127" s="702"/>
      <c r="G127" s="703"/>
      <c r="H127" s="704"/>
      <c r="I127" s="705"/>
      <c r="J127" s="307"/>
      <c r="K127" s="307"/>
      <c r="L127" s="307"/>
      <c r="M127" s="307"/>
      <c r="N127" s="307"/>
      <c r="O127" s="307"/>
      <c r="P127" s="307"/>
      <c r="Q127" s="307"/>
      <c r="R127" s="307"/>
      <c r="S127" s="307">
        <f>S128+S129</f>
        <v>72046</v>
      </c>
      <c r="T127" s="707">
        <f t="shared" si="15"/>
        <v>0.002241833206314996</v>
      </c>
    </row>
    <row r="128" spans="1:20" ht="47.25" customHeight="1">
      <c r="A128" s="684"/>
      <c r="B128" s="208" t="s">
        <v>2</v>
      </c>
      <c r="C128" s="22"/>
      <c r="D128" s="22"/>
      <c r="E128" s="22">
        <v>2888</v>
      </c>
      <c r="F128" s="102"/>
      <c r="G128" s="114"/>
      <c r="H128" s="115"/>
      <c r="I128" s="116"/>
      <c r="J128" s="20"/>
      <c r="K128" s="20"/>
      <c r="L128" s="20"/>
      <c r="M128" s="20"/>
      <c r="N128" s="20"/>
      <c r="O128" s="20"/>
      <c r="P128" s="8"/>
      <c r="Q128" s="8"/>
      <c r="R128" s="8"/>
      <c r="S128" s="8">
        <v>54034</v>
      </c>
      <c r="T128" s="686">
        <f t="shared" si="15"/>
        <v>0.0016813593463901463</v>
      </c>
    </row>
    <row r="129" spans="1:20" ht="44.25" customHeight="1">
      <c r="A129" s="684"/>
      <c r="B129" s="208" t="s">
        <v>2</v>
      </c>
      <c r="C129" s="22"/>
      <c r="D129" s="22"/>
      <c r="E129" s="22">
        <v>2889</v>
      </c>
      <c r="F129" s="102"/>
      <c r="G129" s="114"/>
      <c r="H129" s="115"/>
      <c r="I129" s="116"/>
      <c r="J129" s="20"/>
      <c r="K129" s="20"/>
      <c r="L129" s="20"/>
      <c r="M129" s="20"/>
      <c r="N129" s="20"/>
      <c r="O129" s="20"/>
      <c r="P129" s="8"/>
      <c r="Q129" s="8"/>
      <c r="R129" s="8"/>
      <c r="S129" s="8">
        <v>18012</v>
      </c>
      <c r="T129" s="686">
        <f t="shared" si="15"/>
        <v>0.0005604738599248495</v>
      </c>
    </row>
    <row r="130" spans="1:20" ht="15" customHeight="1">
      <c r="A130" s="680" t="s">
        <v>829</v>
      </c>
      <c r="B130" s="439" t="s">
        <v>903</v>
      </c>
      <c r="C130" s="440" t="s">
        <v>472</v>
      </c>
      <c r="D130" s="440"/>
      <c r="E130" s="440"/>
      <c r="F130" s="447"/>
      <c r="G130" s="445"/>
      <c r="H130" s="441"/>
      <c r="I130" s="446"/>
      <c r="J130" s="366"/>
      <c r="K130" s="366"/>
      <c r="L130" s="366"/>
      <c r="M130" s="366"/>
      <c r="N130" s="366"/>
      <c r="O130" s="366"/>
      <c r="P130" s="366">
        <f>P131</f>
        <v>8070</v>
      </c>
      <c r="Q130" s="366">
        <f>Q131</f>
        <v>0</v>
      </c>
      <c r="R130" s="366">
        <f>R131</f>
        <v>0</v>
      </c>
      <c r="S130" s="366">
        <f>S131+S137</f>
        <v>3221476</v>
      </c>
      <c r="T130" s="683">
        <f t="shared" si="15"/>
        <v>0.10024167712498691</v>
      </c>
    </row>
    <row r="131" spans="1:20" s="107" customFormat="1" ht="16.5" customHeight="1">
      <c r="A131" s="684" t="s">
        <v>850</v>
      </c>
      <c r="B131" s="29" t="s">
        <v>475</v>
      </c>
      <c r="C131" s="31"/>
      <c r="D131" s="31" t="s">
        <v>474</v>
      </c>
      <c r="E131" s="31"/>
      <c r="F131" s="102"/>
      <c r="G131" s="114"/>
      <c r="H131" s="115"/>
      <c r="I131" s="116"/>
      <c r="J131" s="20"/>
      <c r="K131" s="20"/>
      <c r="L131" s="20"/>
      <c r="M131" s="20"/>
      <c r="N131" s="20"/>
      <c r="O131" s="20"/>
      <c r="P131" s="20">
        <f>P133</f>
        <v>8070</v>
      </c>
      <c r="Q131" s="20">
        <f>Q133</f>
        <v>0</v>
      </c>
      <c r="R131" s="20">
        <f>R133</f>
        <v>0</v>
      </c>
      <c r="S131" s="20">
        <f>S132+S133+S134+S135+S136</f>
        <v>2676476</v>
      </c>
      <c r="T131" s="686">
        <f t="shared" si="15"/>
        <v>0.08328307987542868</v>
      </c>
    </row>
    <row r="132" spans="1:20" ht="25.5" customHeight="1">
      <c r="A132" s="687"/>
      <c r="B132" s="29" t="s">
        <v>698</v>
      </c>
      <c r="C132" s="18"/>
      <c r="D132" s="27"/>
      <c r="E132" s="31" t="s">
        <v>699</v>
      </c>
      <c r="F132" s="102"/>
      <c r="G132" s="114"/>
      <c r="H132" s="115"/>
      <c r="I132" s="116"/>
      <c r="J132" s="20"/>
      <c r="K132" s="20"/>
      <c r="L132" s="20"/>
      <c r="M132" s="20"/>
      <c r="N132" s="20"/>
      <c r="O132" s="20"/>
      <c r="P132" s="20"/>
      <c r="Q132" s="20"/>
      <c r="R132" s="20"/>
      <c r="S132" s="20">
        <v>60006</v>
      </c>
      <c r="T132" s="686">
        <f t="shared" si="15"/>
        <v>0.0018671882322146634</v>
      </c>
    </row>
    <row r="133" spans="1:20" ht="26.25" customHeight="1">
      <c r="A133" s="195"/>
      <c r="B133" s="11" t="s">
        <v>554</v>
      </c>
      <c r="C133" s="18"/>
      <c r="D133" s="18"/>
      <c r="E133" s="18" t="s">
        <v>103</v>
      </c>
      <c r="F133" s="5"/>
      <c r="G133" s="112"/>
      <c r="H133" s="110"/>
      <c r="I133" s="6"/>
      <c r="J133" s="8"/>
      <c r="K133" s="8"/>
      <c r="L133" s="8"/>
      <c r="M133" s="8"/>
      <c r="N133" s="8"/>
      <c r="O133" s="8"/>
      <c r="P133" s="8">
        <v>8070</v>
      </c>
      <c r="Q133" s="8">
        <v>0</v>
      </c>
      <c r="R133" s="8">
        <v>0</v>
      </c>
      <c r="S133" s="8">
        <v>54120</v>
      </c>
      <c r="T133" s="686">
        <f t="shared" si="15"/>
        <v>0.0016840353819194344</v>
      </c>
    </row>
    <row r="134" spans="1:20" ht="24" customHeight="1">
      <c r="A134" s="684"/>
      <c r="B134" s="459" t="s">
        <v>189</v>
      </c>
      <c r="C134" s="31"/>
      <c r="D134" s="31"/>
      <c r="E134" s="31" t="s">
        <v>701</v>
      </c>
      <c r="F134" s="20"/>
      <c r="G134" s="20"/>
      <c r="H134" s="115"/>
      <c r="I134" s="115"/>
      <c r="J134" s="20"/>
      <c r="K134" s="20"/>
      <c r="L134" s="20"/>
      <c r="M134" s="20"/>
      <c r="N134" s="20"/>
      <c r="O134" s="20"/>
      <c r="P134" s="255"/>
      <c r="Q134" s="255"/>
      <c r="R134" s="255"/>
      <c r="S134" s="255">
        <v>1801762</v>
      </c>
      <c r="T134" s="686">
        <f t="shared" si="15"/>
        <v>0.05606487357350192</v>
      </c>
    </row>
    <row r="135" spans="1:20" ht="21.75" customHeight="1">
      <c r="A135" s="684"/>
      <c r="B135" s="459" t="s">
        <v>189</v>
      </c>
      <c r="C135" s="31"/>
      <c r="D135" s="31"/>
      <c r="E135" s="31" t="s">
        <v>67</v>
      </c>
      <c r="F135" s="20"/>
      <c r="G135" s="20"/>
      <c r="H135" s="115"/>
      <c r="I135" s="115"/>
      <c r="J135" s="20"/>
      <c r="K135" s="20"/>
      <c r="L135" s="20"/>
      <c r="M135" s="20"/>
      <c r="N135" s="20"/>
      <c r="O135" s="20"/>
      <c r="P135" s="255"/>
      <c r="Q135" s="255"/>
      <c r="R135" s="255"/>
      <c r="S135" s="255">
        <v>349000</v>
      </c>
      <c r="T135" s="686">
        <f t="shared" si="15"/>
        <v>0.010859725578157476</v>
      </c>
    </row>
    <row r="136" spans="1:20" ht="24.75" customHeight="1">
      <c r="A136" s="687"/>
      <c r="B136" s="29" t="s">
        <v>965</v>
      </c>
      <c r="C136" s="33"/>
      <c r="D136" s="57"/>
      <c r="E136" s="22">
        <v>6619</v>
      </c>
      <c r="F136" s="102"/>
      <c r="G136" s="114"/>
      <c r="H136" s="115"/>
      <c r="I136" s="116"/>
      <c r="J136" s="20"/>
      <c r="K136" s="20"/>
      <c r="L136" s="20"/>
      <c r="M136" s="20"/>
      <c r="N136" s="20"/>
      <c r="O136" s="20"/>
      <c r="P136" s="20"/>
      <c r="Q136" s="20"/>
      <c r="R136" s="20"/>
      <c r="S136" s="307">
        <v>411588</v>
      </c>
      <c r="T136" s="686">
        <f t="shared" si="15"/>
        <v>0.012807257109635184</v>
      </c>
    </row>
    <row r="137" spans="1:20" ht="25.5" customHeight="1">
      <c r="A137" s="195" t="s">
        <v>860</v>
      </c>
      <c r="B137" s="11" t="s">
        <v>914</v>
      </c>
      <c r="C137" s="33"/>
      <c r="D137" s="33">
        <v>85156</v>
      </c>
      <c r="E137" s="8"/>
      <c r="F137" s="5"/>
      <c r="G137" s="112">
        <v>2010880</v>
      </c>
      <c r="H137" s="110"/>
      <c r="I137" s="6"/>
      <c r="J137" s="8"/>
      <c r="K137" s="8">
        <v>0</v>
      </c>
      <c r="L137" s="8">
        <v>0</v>
      </c>
      <c r="M137" s="8">
        <v>567150</v>
      </c>
      <c r="N137" s="8">
        <v>0</v>
      </c>
      <c r="O137" s="8">
        <v>70165</v>
      </c>
      <c r="P137" s="8">
        <v>363000</v>
      </c>
      <c r="Q137" s="8">
        <v>0</v>
      </c>
      <c r="R137" s="8">
        <v>0</v>
      </c>
      <c r="S137" s="8">
        <f>S138</f>
        <v>545000</v>
      </c>
      <c r="T137" s="686">
        <f t="shared" si="15"/>
        <v>0.016958597249558238</v>
      </c>
    </row>
    <row r="138" spans="1:20" ht="25.5" customHeight="1">
      <c r="A138" s="195"/>
      <c r="B138" s="11" t="s">
        <v>41</v>
      </c>
      <c r="C138" s="33"/>
      <c r="D138" s="33"/>
      <c r="E138" s="33">
        <v>2110</v>
      </c>
      <c r="F138" s="5"/>
      <c r="G138" s="112"/>
      <c r="H138" s="110"/>
      <c r="I138" s="6"/>
      <c r="J138" s="8"/>
      <c r="K138" s="8"/>
      <c r="L138" s="8"/>
      <c r="M138" s="8"/>
      <c r="N138" s="8"/>
      <c r="O138" s="8"/>
      <c r="P138" s="8"/>
      <c r="Q138" s="8"/>
      <c r="R138" s="8"/>
      <c r="S138" s="8">
        <v>545000</v>
      </c>
      <c r="T138" s="686">
        <f t="shared" si="15"/>
        <v>0.016958597249558238</v>
      </c>
    </row>
    <row r="139" spans="1:20" ht="29.25" customHeight="1">
      <c r="A139" s="680" t="s">
        <v>42</v>
      </c>
      <c r="B139" s="439" t="s">
        <v>392</v>
      </c>
      <c r="C139" s="433">
        <v>852</v>
      </c>
      <c r="D139" s="433"/>
      <c r="E139" s="433"/>
      <c r="F139" s="447"/>
      <c r="G139" s="445"/>
      <c r="H139" s="441"/>
      <c r="I139" s="446"/>
      <c r="J139" s="366"/>
      <c r="K139" s="366"/>
      <c r="L139" s="366"/>
      <c r="M139" s="366"/>
      <c r="N139" s="366"/>
      <c r="O139" s="366"/>
      <c r="P139" s="366"/>
      <c r="Q139" s="366"/>
      <c r="R139" s="366"/>
      <c r="S139" s="366">
        <f>S140+S145+S150+S170</f>
        <v>1076053</v>
      </c>
      <c r="T139" s="683">
        <f t="shared" si="15"/>
        <v>0.03348320999298879</v>
      </c>
    </row>
    <row r="140" spans="1:20" s="107" customFormat="1" ht="26.25" customHeight="1">
      <c r="A140" s="684" t="s">
        <v>850</v>
      </c>
      <c r="B140" s="29" t="s">
        <v>665</v>
      </c>
      <c r="C140" s="31"/>
      <c r="D140" s="31" t="s">
        <v>393</v>
      </c>
      <c r="E140" s="31"/>
      <c r="F140" s="102" t="e">
        <f>#REF!+F142+#REF!+#REF!+F143</f>
        <v>#REF!</v>
      </c>
      <c r="G140" s="114" t="e">
        <f>#REF!+G142+#REF!+#REF!+G143+#REF!</f>
        <v>#REF!</v>
      </c>
      <c r="H140" s="115" t="e">
        <f>IF(F140&gt;0,G140/F140*100,"")</f>
        <v>#REF!</v>
      </c>
      <c r="I140" s="116" t="e">
        <f>F140/F214</f>
        <v>#REF!</v>
      </c>
      <c r="J140" s="20"/>
      <c r="K140" s="20" t="e">
        <f>#REF!+K142+#REF!+#REF!+K143+#REF!</f>
        <v>#REF!</v>
      </c>
      <c r="L140" s="20" t="e">
        <f>#REF!+L142+#REF!+#REF!+L143++#REF!</f>
        <v>#REF!</v>
      </c>
      <c r="M140" s="20" t="e">
        <f>#REF!+M142+#REF!+#REF!+M143+#REF!</f>
        <v>#REF!</v>
      </c>
      <c r="N140" s="20" t="e">
        <f>#REF!+N142+#REF!+#REF!+N143+#REF!</f>
        <v>#REF!</v>
      </c>
      <c r="O140" s="20" t="e">
        <f>#REF!+O142+#REF!+#REF!+O143+#REF!</f>
        <v>#REF!</v>
      </c>
      <c r="P140" s="255">
        <f>P142+P143</f>
        <v>6850</v>
      </c>
      <c r="Q140" s="255">
        <f>Q142+Q143</f>
        <v>0</v>
      </c>
      <c r="R140" s="255">
        <f>R142+R143</f>
        <v>0</v>
      </c>
      <c r="S140" s="255">
        <f>S141+S142+S143+S144</f>
        <v>240021</v>
      </c>
      <c r="T140" s="686">
        <f t="shared" si="15"/>
        <v>0.00746865957878205</v>
      </c>
    </row>
    <row r="141" spans="1:20" ht="23.25" customHeight="1">
      <c r="A141" s="687"/>
      <c r="B141" s="11" t="s">
        <v>586</v>
      </c>
      <c r="C141" s="27"/>
      <c r="D141" s="27"/>
      <c r="E141" s="31" t="s">
        <v>587</v>
      </c>
      <c r="F141" s="102"/>
      <c r="G141" s="114"/>
      <c r="H141" s="115"/>
      <c r="I141" s="116"/>
      <c r="J141" s="20"/>
      <c r="K141" s="20"/>
      <c r="L141" s="20"/>
      <c r="M141" s="20"/>
      <c r="N141" s="20"/>
      <c r="O141" s="20"/>
      <c r="P141" s="255"/>
      <c r="Q141" s="255"/>
      <c r="R141" s="255"/>
      <c r="S141" s="255">
        <v>300</v>
      </c>
      <c r="T141" s="686">
        <f t="shared" si="15"/>
        <v>9.335007660307286E-06</v>
      </c>
    </row>
    <row r="142" spans="1:20" ht="15.75" customHeight="1">
      <c r="A142" s="687"/>
      <c r="B142" s="11" t="s">
        <v>187</v>
      </c>
      <c r="C142" s="18"/>
      <c r="D142" s="18"/>
      <c r="E142" s="18" t="s">
        <v>103</v>
      </c>
      <c r="F142" s="5">
        <v>2740</v>
      </c>
      <c r="G142" s="114">
        <v>4713</v>
      </c>
      <c r="H142" s="110">
        <f>IF(F142&gt;0,G142/F142*100,"")</f>
        <v>172.007299270073</v>
      </c>
      <c r="I142" s="6" t="e">
        <f>F142/F214</f>
        <v>#REF!</v>
      </c>
      <c r="J142" s="8"/>
      <c r="K142" s="8">
        <v>0</v>
      </c>
      <c r="L142" s="8">
        <v>0</v>
      </c>
      <c r="M142" s="8">
        <v>6500</v>
      </c>
      <c r="N142" s="8">
        <v>0</v>
      </c>
      <c r="O142" s="8">
        <v>0</v>
      </c>
      <c r="P142" s="8">
        <v>6500</v>
      </c>
      <c r="Q142" s="8">
        <v>0</v>
      </c>
      <c r="R142" s="8">
        <v>0</v>
      </c>
      <c r="S142" s="8">
        <v>0</v>
      </c>
      <c r="T142" s="686">
        <f t="shared" si="15"/>
        <v>0</v>
      </c>
    </row>
    <row r="143" spans="1:20" ht="14.25" customHeight="1">
      <c r="A143" s="687"/>
      <c r="B143" s="20" t="s">
        <v>858</v>
      </c>
      <c r="C143" s="18"/>
      <c r="D143" s="18"/>
      <c r="E143" s="18" t="s">
        <v>101</v>
      </c>
      <c r="F143" s="5">
        <v>4000</v>
      </c>
      <c r="G143" s="114">
        <v>6000</v>
      </c>
      <c r="H143" s="110">
        <f>IF(F143&gt;0,G143/F143*100,"")</f>
        <v>150</v>
      </c>
      <c r="I143" s="6" t="e">
        <f>F143/F214</f>
        <v>#REF!</v>
      </c>
      <c r="J143" s="8"/>
      <c r="K143" s="8">
        <v>0</v>
      </c>
      <c r="L143" s="8">
        <v>0</v>
      </c>
      <c r="M143" s="8">
        <v>2500</v>
      </c>
      <c r="N143" s="8">
        <v>0</v>
      </c>
      <c r="O143" s="8">
        <v>0</v>
      </c>
      <c r="P143" s="8">
        <v>350</v>
      </c>
      <c r="Q143" s="8">
        <v>0</v>
      </c>
      <c r="R143" s="8">
        <v>0</v>
      </c>
      <c r="S143" s="8">
        <v>200</v>
      </c>
      <c r="T143" s="686">
        <f t="shared" si="15"/>
        <v>6.223338440204857E-06</v>
      </c>
    </row>
    <row r="144" spans="1:20" s="37" customFormat="1" ht="24.75" customHeight="1">
      <c r="A144" s="687"/>
      <c r="B144" s="29" t="s">
        <v>43</v>
      </c>
      <c r="C144" s="57"/>
      <c r="D144" s="22"/>
      <c r="E144" s="22">
        <v>2320</v>
      </c>
      <c r="F144" s="102"/>
      <c r="G144" s="114"/>
      <c r="H144" s="115"/>
      <c r="I144" s="116"/>
      <c r="J144" s="20"/>
      <c r="K144" s="20"/>
      <c r="L144" s="20"/>
      <c r="M144" s="20"/>
      <c r="N144" s="20"/>
      <c r="O144" s="20"/>
      <c r="P144" s="20"/>
      <c r="Q144" s="20"/>
      <c r="R144" s="20"/>
      <c r="S144" s="20">
        <v>239521</v>
      </c>
      <c r="T144" s="686">
        <f t="shared" si="15"/>
        <v>0.007453101232681538</v>
      </c>
    </row>
    <row r="145" spans="1:20" s="107" customFormat="1" ht="15.75" customHeight="1">
      <c r="A145" s="684" t="s">
        <v>860</v>
      </c>
      <c r="B145" s="20" t="s">
        <v>497</v>
      </c>
      <c r="C145" s="31"/>
      <c r="D145" s="31" t="s">
        <v>394</v>
      </c>
      <c r="E145" s="31"/>
      <c r="F145" s="102">
        <f>F146+F147</f>
        <v>159900</v>
      </c>
      <c r="G145" s="114">
        <f>G146+G147</f>
        <v>170000</v>
      </c>
      <c r="H145" s="115">
        <f>IF(F145&gt;0,G145/F145*100,"")</f>
        <v>106.31644777986241</v>
      </c>
      <c r="I145" s="116" t="e">
        <f>F145/F214</f>
        <v>#REF!</v>
      </c>
      <c r="J145" s="20"/>
      <c r="K145" s="20">
        <f>K146+K147</f>
        <v>6500</v>
      </c>
      <c r="L145" s="20">
        <f>L146+L147</f>
        <v>500</v>
      </c>
      <c r="M145" s="20">
        <f>M146+M147</f>
        <v>180500</v>
      </c>
      <c r="N145" s="20">
        <f>N146+N147</f>
        <v>0</v>
      </c>
      <c r="O145" s="20">
        <f>O146+O147</f>
        <v>0</v>
      </c>
      <c r="P145" s="255">
        <f>P146+P147+P148</f>
        <v>182200</v>
      </c>
      <c r="Q145" s="255">
        <f>Q146+Q147+Q148</f>
        <v>0</v>
      </c>
      <c r="R145" s="255">
        <f>R146+R147+R148</f>
        <v>0</v>
      </c>
      <c r="S145" s="255">
        <f>S146+S147+S148+S149</f>
        <v>807585</v>
      </c>
      <c r="T145" s="686">
        <f t="shared" si="15"/>
        <v>0.0251293738711642</v>
      </c>
    </row>
    <row r="146" spans="1:20" ht="15.75" customHeight="1">
      <c r="A146" s="195"/>
      <c r="B146" s="8" t="s">
        <v>868</v>
      </c>
      <c r="C146" s="18"/>
      <c r="D146" s="18"/>
      <c r="E146" s="18" t="s">
        <v>104</v>
      </c>
      <c r="F146" s="5">
        <v>159000</v>
      </c>
      <c r="G146" s="112">
        <v>169000</v>
      </c>
      <c r="H146" s="110">
        <f>IF(F146&gt;0,G146/F146*100,"")</f>
        <v>106.28930817610063</v>
      </c>
      <c r="I146" s="6" t="e">
        <f>F146/F214</f>
        <v>#REF!</v>
      </c>
      <c r="J146" s="8"/>
      <c r="K146" s="8">
        <v>6500</v>
      </c>
      <c r="L146" s="8">
        <v>0</v>
      </c>
      <c r="M146" s="8">
        <v>180000</v>
      </c>
      <c r="N146" s="8">
        <v>0</v>
      </c>
      <c r="O146" s="8">
        <v>0</v>
      </c>
      <c r="P146" s="8">
        <v>182000</v>
      </c>
      <c r="Q146" s="8">
        <v>0</v>
      </c>
      <c r="R146" s="8">
        <v>0</v>
      </c>
      <c r="S146" s="8">
        <v>317085</v>
      </c>
      <c r="T146" s="686">
        <f t="shared" si="15"/>
        <v>0.009866636346561786</v>
      </c>
    </row>
    <row r="147" spans="1:20" ht="15" customHeight="1">
      <c r="A147" s="195"/>
      <c r="B147" s="11" t="s">
        <v>858</v>
      </c>
      <c r="C147" s="18"/>
      <c r="D147" s="18"/>
      <c r="E147" s="18" t="s">
        <v>101</v>
      </c>
      <c r="F147" s="5">
        <v>900</v>
      </c>
      <c r="G147" s="112">
        <v>1000</v>
      </c>
      <c r="H147" s="110">
        <f>IF(F147&gt;0,G147/F147*100,"")</f>
        <v>111.11111111111111</v>
      </c>
      <c r="I147" s="110" t="e">
        <f>F147/F214</f>
        <v>#REF!</v>
      </c>
      <c r="J147" s="8"/>
      <c r="K147" s="8">
        <v>0</v>
      </c>
      <c r="L147" s="8">
        <v>500</v>
      </c>
      <c r="M147" s="8">
        <v>500</v>
      </c>
      <c r="N147" s="8">
        <v>0</v>
      </c>
      <c r="O147" s="8">
        <v>0</v>
      </c>
      <c r="P147" s="8">
        <v>50</v>
      </c>
      <c r="Q147" s="8">
        <v>0</v>
      </c>
      <c r="R147" s="8">
        <v>0</v>
      </c>
      <c r="S147" s="8">
        <v>500</v>
      </c>
      <c r="T147" s="686">
        <f t="shared" si="15"/>
        <v>1.5558346100512144E-05</v>
      </c>
    </row>
    <row r="148" spans="1:20" ht="15.75" customHeight="1">
      <c r="A148" s="195"/>
      <c r="B148" s="11" t="s">
        <v>890</v>
      </c>
      <c r="C148" s="18"/>
      <c r="D148" s="18"/>
      <c r="E148" s="18" t="s">
        <v>105</v>
      </c>
      <c r="F148" s="5"/>
      <c r="G148" s="112"/>
      <c r="H148" s="110"/>
      <c r="I148" s="110"/>
      <c r="J148" s="8"/>
      <c r="K148" s="8"/>
      <c r="L148" s="8"/>
      <c r="M148" s="8"/>
      <c r="N148" s="8"/>
      <c r="O148" s="8"/>
      <c r="P148" s="8">
        <v>150</v>
      </c>
      <c r="Q148" s="8">
        <v>0</v>
      </c>
      <c r="R148" s="8">
        <v>0</v>
      </c>
      <c r="S148" s="8">
        <v>0</v>
      </c>
      <c r="T148" s="686">
        <f t="shared" si="15"/>
        <v>0</v>
      </c>
    </row>
    <row r="149" spans="1:20" ht="24" customHeight="1">
      <c r="A149" s="195"/>
      <c r="B149" s="11" t="s">
        <v>44</v>
      </c>
      <c r="C149" s="33"/>
      <c r="D149" s="57"/>
      <c r="E149" s="22">
        <v>2130</v>
      </c>
      <c r="F149" s="9" t="e">
        <f>#REF!</f>
        <v>#REF!</v>
      </c>
      <c r="G149" s="111" t="e">
        <f>#REF!</f>
        <v>#REF!</v>
      </c>
      <c r="H149" s="108" t="e">
        <f>IF(F149&gt;0,G149/F149*100,"")</f>
        <v>#REF!</v>
      </c>
      <c r="I149" s="108" t="e">
        <f>F149/F214</f>
        <v>#REF!</v>
      </c>
      <c r="J149" s="7"/>
      <c r="K149" s="7" t="e">
        <f>#REF!</f>
        <v>#REF!</v>
      </c>
      <c r="L149" s="7" t="e">
        <f>#REF!</f>
        <v>#REF!</v>
      </c>
      <c r="M149" s="7" t="e">
        <f>#REF!</f>
        <v>#REF!</v>
      </c>
      <c r="N149" s="7" t="e">
        <f>#REF!</f>
        <v>#REF!</v>
      </c>
      <c r="O149" s="7" t="e">
        <f>#REF!</f>
        <v>#REF!</v>
      </c>
      <c r="P149" s="121" t="e">
        <f>#REF!</f>
        <v>#REF!</v>
      </c>
      <c r="Q149" s="121" t="e">
        <f>#REF!</f>
        <v>#REF!</v>
      </c>
      <c r="R149" s="121" t="e">
        <f>#REF!</f>
        <v>#REF!</v>
      </c>
      <c r="S149" s="255">
        <v>490000</v>
      </c>
      <c r="T149" s="686">
        <f t="shared" si="15"/>
        <v>0.0152471791785019</v>
      </c>
    </row>
    <row r="150" spans="1:20" s="107" customFormat="1" ht="18" customHeight="1">
      <c r="A150" s="684" t="s">
        <v>902</v>
      </c>
      <c r="B150" s="29" t="s">
        <v>666</v>
      </c>
      <c r="C150" s="31"/>
      <c r="D150" s="31" t="s">
        <v>399</v>
      </c>
      <c r="E150" s="31"/>
      <c r="F150" s="102"/>
      <c r="G150" s="114"/>
      <c r="H150" s="115"/>
      <c r="I150" s="115"/>
      <c r="J150" s="20"/>
      <c r="K150" s="20"/>
      <c r="L150" s="20"/>
      <c r="M150" s="20"/>
      <c r="N150" s="20"/>
      <c r="O150" s="20"/>
      <c r="P150" s="20"/>
      <c r="Q150" s="20"/>
      <c r="R150" s="20"/>
      <c r="S150" s="20">
        <f>S151+S169</f>
        <v>28447</v>
      </c>
      <c r="T150" s="686">
        <f t="shared" si="15"/>
        <v>0.0008851765430425379</v>
      </c>
    </row>
    <row r="151" spans="1:20" ht="24" customHeight="1">
      <c r="A151" s="195"/>
      <c r="B151" s="11" t="s">
        <v>586</v>
      </c>
      <c r="C151" s="18"/>
      <c r="D151" s="18"/>
      <c r="E151" s="18" t="s">
        <v>587</v>
      </c>
      <c r="F151" s="5"/>
      <c r="G151" s="112"/>
      <c r="H151" s="110"/>
      <c r="I151" s="110"/>
      <c r="J151" s="8"/>
      <c r="K151" s="8"/>
      <c r="L151" s="8"/>
      <c r="M151" s="8"/>
      <c r="N151" s="8"/>
      <c r="O151" s="8"/>
      <c r="P151" s="8"/>
      <c r="Q151" s="8"/>
      <c r="R151" s="8"/>
      <c r="S151" s="8">
        <v>700</v>
      </c>
      <c r="T151" s="686">
        <f aca="true" t="shared" si="24" ref="T151:T214">S151/$S$214</f>
        <v>2.1781684540717002E-05</v>
      </c>
    </row>
    <row r="152" spans="1:20" ht="24" customHeight="1" hidden="1">
      <c r="A152" s="687" t="s">
        <v>904</v>
      </c>
      <c r="B152" s="63" t="s">
        <v>905</v>
      </c>
      <c r="C152" s="27"/>
      <c r="D152" s="27" t="s">
        <v>395</v>
      </c>
      <c r="E152" s="27"/>
      <c r="F152" s="7" t="e">
        <f>#REF!+F153+#REF!</f>
        <v>#REF!</v>
      </c>
      <c r="G152" s="7" t="e">
        <f>#REF!+G153+#REF!</f>
        <v>#REF!</v>
      </c>
      <c r="H152" s="108" t="e">
        <f>IF(F152&gt;0,G152/F152*100,"")</f>
        <v>#REF!</v>
      </c>
      <c r="I152" s="108" t="e">
        <f>F152/F214</f>
        <v>#REF!</v>
      </c>
      <c r="J152" s="7"/>
      <c r="K152" s="7" t="e">
        <f>#REF!+K153+#REF!</f>
        <v>#REF!</v>
      </c>
      <c r="L152" s="7" t="e">
        <f>#REF!+L153+#REF!</f>
        <v>#REF!</v>
      </c>
      <c r="M152" s="7" t="e">
        <f>#REF!+M153+#REF!</f>
        <v>#REF!</v>
      </c>
      <c r="N152" s="7" t="e">
        <f>#REF!+N153+#REF!</f>
        <v>#REF!</v>
      </c>
      <c r="O152" s="7" t="e">
        <f>#REF!+O153+#REF!</f>
        <v>#REF!</v>
      </c>
      <c r="P152" s="121">
        <f>P153</f>
        <v>500</v>
      </c>
      <c r="Q152" s="121">
        <f>Q153</f>
        <v>0</v>
      </c>
      <c r="R152" s="121">
        <f>R153</f>
        <v>0</v>
      </c>
      <c r="S152" s="121">
        <f>S153</f>
        <v>0</v>
      </c>
      <c r="T152" s="686">
        <f t="shared" si="24"/>
        <v>0</v>
      </c>
    </row>
    <row r="153" spans="1:20" ht="0.75" customHeight="1" hidden="1">
      <c r="A153" s="195"/>
      <c r="B153" s="28" t="s">
        <v>858</v>
      </c>
      <c r="C153" s="18"/>
      <c r="D153" s="18"/>
      <c r="E153" s="18" t="s">
        <v>101</v>
      </c>
      <c r="F153" s="8">
        <v>6500</v>
      </c>
      <c r="G153" s="8">
        <v>4200</v>
      </c>
      <c r="H153" s="110">
        <f>IF(F153&gt;0,G153/F153*100,"")</f>
        <v>64.61538461538461</v>
      </c>
      <c r="I153" s="110" t="e">
        <f>F153/F214</f>
        <v>#REF!</v>
      </c>
      <c r="J153" s="8"/>
      <c r="K153" s="8">
        <v>0</v>
      </c>
      <c r="L153" s="8">
        <v>0</v>
      </c>
      <c r="M153" s="8">
        <v>650</v>
      </c>
      <c r="N153" s="8">
        <v>0</v>
      </c>
      <c r="O153" s="8">
        <v>0</v>
      </c>
      <c r="P153" s="8">
        <v>500</v>
      </c>
      <c r="Q153" s="8">
        <v>0</v>
      </c>
      <c r="R153" s="8">
        <v>0</v>
      </c>
      <c r="S153" s="8">
        <v>0</v>
      </c>
      <c r="T153" s="686">
        <f t="shared" si="24"/>
        <v>0</v>
      </c>
    </row>
    <row r="154" spans="1:20" ht="18.75" customHeight="1" hidden="1">
      <c r="A154" s="687" t="s">
        <v>204</v>
      </c>
      <c r="B154" s="17" t="s">
        <v>852</v>
      </c>
      <c r="C154" s="27"/>
      <c r="D154" s="27" t="s">
        <v>491</v>
      </c>
      <c r="E154" s="27"/>
      <c r="F154" s="7"/>
      <c r="G154" s="7"/>
      <c r="H154" s="108"/>
      <c r="I154" s="108"/>
      <c r="J154" s="7"/>
      <c r="K154" s="7"/>
      <c r="L154" s="7"/>
      <c r="M154" s="7"/>
      <c r="N154" s="7"/>
      <c r="O154" s="7"/>
      <c r="P154" s="7"/>
      <c r="Q154" s="7"/>
      <c r="R154" s="7"/>
      <c r="S154" s="7" t="e">
        <f>S155+S159+S163+S165+S167+#REF!</f>
        <v>#REF!</v>
      </c>
      <c r="T154" s="686" t="e">
        <f t="shared" si="24"/>
        <v>#REF!</v>
      </c>
    </row>
    <row r="155" spans="1:20" ht="30.75" customHeight="1" hidden="1">
      <c r="A155" s="687" t="s">
        <v>850</v>
      </c>
      <c r="B155" s="4" t="s">
        <v>665</v>
      </c>
      <c r="C155" s="27"/>
      <c r="D155" s="27" t="s">
        <v>853</v>
      </c>
      <c r="E155" s="27"/>
      <c r="F155" s="9" t="e">
        <f>#REF!+F157+#REF!+#REF!+F158</f>
        <v>#REF!</v>
      </c>
      <c r="G155" s="111" t="e">
        <f>#REF!+G157+#REF!+#REF!+G158+#REF!</f>
        <v>#REF!</v>
      </c>
      <c r="H155" s="108" t="e">
        <f>IF(F155&gt;0,G155/F155*100,"")</f>
        <v>#REF!</v>
      </c>
      <c r="I155" s="10" t="e">
        <f>F155/F231</f>
        <v>#REF!</v>
      </c>
      <c r="J155" s="7"/>
      <c r="K155" s="7" t="e">
        <f>#REF!+K157+#REF!+#REF!+K158+#REF!</f>
        <v>#REF!</v>
      </c>
      <c r="L155" s="7" t="e">
        <f>#REF!+L157+#REF!+#REF!+L158++#REF!</f>
        <v>#REF!</v>
      </c>
      <c r="M155" s="7" t="e">
        <f>#REF!+M157+#REF!+#REF!+M158+#REF!</f>
        <v>#REF!</v>
      </c>
      <c r="N155" s="7" t="e">
        <f>#REF!+N157+#REF!+#REF!+N158+#REF!</f>
        <v>#REF!</v>
      </c>
      <c r="O155" s="7" t="e">
        <f>#REF!+O157+#REF!+#REF!+O158+#REF!</f>
        <v>#REF!</v>
      </c>
      <c r="P155" s="121">
        <f>P157+P158</f>
        <v>6850</v>
      </c>
      <c r="Q155" s="121">
        <f>Q157+Q158</f>
        <v>0</v>
      </c>
      <c r="R155" s="121">
        <f>R157+R158</f>
        <v>0</v>
      </c>
      <c r="S155" s="121">
        <f>S157+S158+S156</f>
        <v>0</v>
      </c>
      <c r="T155" s="686">
        <f t="shared" si="24"/>
        <v>0</v>
      </c>
    </row>
    <row r="156" spans="1:20" ht="18.75" customHeight="1" hidden="1">
      <c r="A156" s="687"/>
      <c r="B156" s="8" t="s">
        <v>862</v>
      </c>
      <c r="C156" s="27"/>
      <c r="D156" s="27"/>
      <c r="E156" s="31" t="s">
        <v>863</v>
      </c>
      <c r="F156" s="102"/>
      <c r="G156" s="114"/>
      <c r="H156" s="115"/>
      <c r="I156" s="116"/>
      <c r="J156" s="20"/>
      <c r="K156" s="20"/>
      <c r="L156" s="20"/>
      <c r="M156" s="20"/>
      <c r="N156" s="20"/>
      <c r="O156" s="20"/>
      <c r="P156" s="255"/>
      <c r="Q156" s="255"/>
      <c r="R156" s="255"/>
      <c r="S156" s="255">
        <v>0</v>
      </c>
      <c r="T156" s="686">
        <f t="shared" si="24"/>
        <v>0</v>
      </c>
    </row>
    <row r="157" spans="1:20" ht="38.25" customHeight="1" hidden="1">
      <c r="A157" s="687"/>
      <c r="B157" s="11" t="s">
        <v>900</v>
      </c>
      <c r="C157" s="18"/>
      <c r="D157" s="18"/>
      <c r="E157" s="18" t="s">
        <v>103</v>
      </c>
      <c r="F157" s="5">
        <v>2740</v>
      </c>
      <c r="G157" s="114">
        <v>4713</v>
      </c>
      <c r="H157" s="110">
        <f>IF(F157&gt;0,G157/F157*100,"")</f>
        <v>172.007299270073</v>
      </c>
      <c r="I157" s="6" t="e">
        <f>F157/F231</f>
        <v>#DIV/0!</v>
      </c>
      <c r="J157" s="8"/>
      <c r="K157" s="8">
        <v>0</v>
      </c>
      <c r="L157" s="8">
        <v>0</v>
      </c>
      <c r="M157" s="8">
        <v>6500</v>
      </c>
      <c r="N157" s="8">
        <v>0</v>
      </c>
      <c r="O157" s="8">
        <v>0</v>
      </c>
      <c r="P157" s="8">
        <v>6500</v>
      </c>
      <c r="Q157" s="8">
        <v>0</v>
      </c>
      <c r="R157" s="8">
        <v>0</v>
      </c>
      <c r="S157" s="8">
        <v>0</v>
      </c>
      <c r="T157" s="686">
        <f t="shared" si="24"/>
        <v>0</v>
      </c>
    </row>
    <row r="158" spans="1:20" ht="18.75" customHeight="1" hidden="1">
      <c r="A158" s="687"/>
      <c r="B158" s="20" t="s">
        <v>858</v>
      </c>
      <c r="C158" s="18"/>
      <c r="D158" s="18"/>
      <c r="E158" s="18" t="s">
        <v>101</v>
      </c>
      <c r="F158" s="5">
        <v>4000</v>
      </c>
      <c r="G158" s="114">
        <v>6000</v>
      </c>
      <c r="H158" s="110">
        <f>IF(F158&gt;0,G158/F158*100,"")</f>
        <v>150</v>
      </c>
      <c r="I158" s="6" t="e">
        <f>F158/F231</f>
        <v>#DIV/0!</v>
      </c>
      <c r="J158" s="8"/>
      <c r="K158" s="8">
        <v>0</v>
      </c>
      <c r="L158" s="8">
        <v>0</v>
      </c>
      <c r="M158" s="8">
        <v>2500</v>
      </c>
      <c r="N158" s="8">
        <v>0</v>
      </c>
      <c r="O158" s="8">
        <v>0</v>
      </c>
      <c r="P158" s="8">
        <v>350</v>
      </c>
      <c r="Q158" s="8">
        <v>0</v>
      </c>
      <c r="R158" s="8">
        <v>0</v>
      </c>
      <c r="S158" s="8">
        <v>0</v>
      </c>
      <c r="T158" s="686">
        <f t="shared" si="24"/>
        <v>0</v>
      </c>
    </row>
    <row r="159" spans="1:20" ht="18.75" customHeight="1" hidden="1">
      <c r="A159" s="687" t="s">
        <v>860</v>
      </c>
      <c r="B159" s="7" t="s">
        <v>497</v>
      </c>
      <c r="C159" s="27"/>
      <c r="D159" s="27" t="s">
        <v>854</v>
      </c>
      <c r="E159" s="27"/>
      <c r="F159" s="9">
        <f>F160+F161</f>
        <v>159900</v>
      </c>
      <c r="G159" s="111">
        <f>G160+G161</f>
        <v>170000</v>
      </c>
      <c r="H159" s="108">
        <f>IF(F159&gt;0,G159/F159*100,"")</f>
        <v>106.31644777986241</v>
      </c>
      <c r="I159" s="10" t="e">
        <f>F159/F231</f>
        <v>#DIV/0!</v>
      </c>
      <c r="J159" s="7"/>
      <c r="K159" s="7">
        <f>K160+K161</f>
        <v>6500</v>
      </c>
      <c r="L159" s="7">
        <f>L160+L161</f>
        <v>500</v>
      </c>
      <c r="M159" s="7">
        <f>M160+M161</f>
        <v>180500</v>
      </c>
      <c r="N159" s="7">
        <f>N160+N161</f>
        <v>0</v>
      </c>
      <c r="O159" s="7">
        <f>O160+O161</f>
        <v>0</v>
      </c>
      <c r="P159" s="121">
        <f>P160+P161+P162</f>
        <v>182200</v>
      </c>
      <c r="Q159" s="121">
        <f>Q160+Q161+Q162</f>
        <v>0</v>
      </c>
      <c r="R159" s="121">
        <f>R160+R161+R162</f>
        <v>0</v>
      </c>
      <c r="S159" s="121">
        <f>S160+S161+S162</f>
        <v>0</v>
      </c>
      <c r="T159" s="686">
        <f t="shared" si="24"/>
        <v>0</v>
      </c>
    </row>
    <row r="160" spans="1:20" ht="18.75" customHeight="1" hidden="1">
      <c r="A160" s="195"/>
      <c r="B160" s="8" t="s">
        <v>868</v>
      </c>
      <c r="C160" s="18"/>
      <c r="D160" s="18"/>
      <c r="E160" s="18" t="s">
        <v>104</v>
      </c>
      <c r="F160" s="5">
        <v>159000</v>
      </c>
      <c r="G160" s="112">
        <v>169000</v>
      </c>
      <c r="H160" s="110">
        <f>IF(F160&gt;0,G160/F160*100,"")</f>
        <v>106.28930817610063</v>
      </c>
      <c r="I160" s="6" t="e">
        <f>F160/F231</f>
        <v>#DIV/0!</v>
      </c>
      <c r="J160" s="8"/>
      <c r="K160" s="8">
        <v>6500</v>
      </c>
      <c r="L160" s="8">
        <v>0</v>
      </c>
      <c r="M160" s="8">
        <v>180000</v>
      </c>
      <c r="N160" s="8">
        <v>0</v>
      </c>
      <c r="O160" s="8">
        <v>0</v>
      </c>
      <c r="P160" s="8">
        <v>182000</v>
      </c>
      <c r="Q160" s="8">
        <v>0</v>
      </c>
      <c r="R160" s="8">
        <v>0</v>
      </c>
      <c r="S160" s="8">
        <v>0</v>
      </c>
      <c r="T160" s="686">
        <f t="shared" si="24"/>
        <v>0</v>
      </c>
    </row>
    <row r="161" spans="1:20" ht="18.75" customHeight="1" hidden="1">
      <c r="A161" s="195"/>
      <c r="B161" s="11" t="s">
        <v>858</v>
      </c>
      <c r="C161" s="18"/>
      <c r="D161" s="18"/>
      <c r="E161" s="18" t="s">
        <v>101</v>
      </c>
      <c r="F161" s="5">
        <v>900</v>
      </c>
      <c r="G161" s="112">
        <v>1000</v>
      </c>
      <c r="H161" s="110">
        <f>IF(F161&gt;0,G161/F161*100,"")</f>
        <v>111.11111111111111</v>
      </c>
      <c r="I161" s="110" t="e">
        <f>F161/F231</f>
        <v>#DIV/0!</v>
      </c>
      <c r="J161" s="8"/>
      <c r="K161" s="8">
        <v>0</v>
      </c>
      <c r="L161" s="8">
        <v>500</v>
      </c>
      <c r="M161" s="8">
        <v>500</v>
      </c>
      <c r="N161" s="8">
        <v>0</v>
      </c>
      <c r="O161" s="8">
        <v>0</v>
      </c>
      <c r="P161" s="8">
        <v>50</v>
      </c>
      <c r="Q161" s="8">
        <v>0</v>
      </c>
      <c r="R161" s="8">
        <v>0</v>
      </c>
      <c r="S161" s="8">
        <v>0</v>
      </c>
      <c r="T161" s="686">
        <f t="shared" si="24"/>
        <v>0</v>
      </c>
    </row>
    <row r="162" spans="1:20" ht="18.75" customHeight="1" hidden="1">
      <c r="A162" s="195"/>
      <c r="B162" s="11" t="s">
        <v>890</v>
      </c>
      <c r="C162" s="18"/>
      <c r="D162" s="18"/>
      <c r="E162" s="18" t="s">
        <v>105</v>
      </c>
      <c r="F162" s="5"/>
      <c r="G162" s="112"/>
      <c r="H162" s="110"/>
      <c r="I162" s="110"/>
      <c r="J162" s="8"/>
      <c r="K162" s="8"/>
      <c r="L162" s="8"/>
      <c r="M162" s="8"/>
      <c r="N162" s="8"/>
      <c r="O162" s="8"/>
      <c r="P162" s="8">
        <v>150</v>
      </c>
      <c r="Q162" s="8">
        <v>0</v>
      </c>
      <c r="R162" s="8">
        <v>0</v>
      </c>
      <c r="S162" s="8">
        <v>0</v>
      </c>
      <c r="T162" s="686">
        <f t="shared" si="24"/>
        <v>0</v>
      </c>
    </row>
    <row r="163" spans="1:20" ht="18.75" customHeight="1" hidden="1">
      <c r="A163" s="687" t="s">
        <v>902</v>
      </c>
      <c r="B163" s="4" t="s">
        <v>666</v>
      </c>
      <c r="C163" s="27"/>
      <c r="D163" s="27" t="s">
        <v>855</v>
      </c>
      <c r="E163" s="27"/>
      <c r="F163" s="9"/>
      <c r="G163" s="111"/>
      <c r="H163" s="108"/>
      <c r="I163" s="108"/>
      <c r="J163" s="7"/>
      <c r="K163" s="7"/>
      <c r="L163" s="7"/>
      <c r="M163" s="7"/>
      <c r="N163" s="7"/>
      <c r="O163" s="7"/>
      <c r="P163" s="7"/>
      <c r="Q163" s="7"/>
      <c r="R163" s="7"/>
      <c r="S163" s="7">
        <f>S164</f>
        <v>0</v>
      </c>
      <c r="T163" s="686">
        <f t="shared" si="24"/>
        <v>0</v>
      </c>
    </row>
    <row r="164" spans="1:20" ht="18.75" customHeight="1" hidden="1">
      <c r="A164" s="195"/>
      <c r="B164" s="8" t="s">
        <v>862</v>
      </c>
      <c r="C164" s="18"/>
      <c r="D164" s="18"/>
      <c r="E164" s="18" t="s">
        <v>863</v>
      </c>
      <c r="F164" s="5"/>
      <c r="G164" s="112"/>
      <c r="H164" s="110"/>
      <c r="I164" s="110"/>
      <c r="J164" s="8"/>
      <c r="K164" s="8"/>
      <c r="L164" s="8"/>
      <c r="M164" s="8"/>
      <c r="N164" s="8"/>
      <c r="O164" s="8"/>
      <c r="P164" s="8"/>
      <c r="Q164" s="8"/>
      <c r="R164" s="8"/>
      <c r="S164" s="8">
        <v>0</v>
      </c>
      <c r="T164" s="686">
        <f t="shared" si="24"/>
        <v>0</v>
      </c>
    </row>
    <row r="165" spans="1:20" ht="27" customHeight="1" hidden="1">
      <c r="A165" s="687" t="s">
        <v>902</v>
      </c>
      <c r="B165" s="63" t="s">
        <v>905</v>
      </c>
      <c r="C165" s="27"/>
      <c r="D165" s="27" t="s">
        <v>502</v>
      </c>
      <c r="E165" s="27"/>
      <c r="F165" s="7" t="e">
        <f>#REF!+F166+#REF!</f>
        <v>#REF!</v>
      </c>
      <c r="G165" s="7" t="e">
        <f>#REF!+G166+#REF!</f>
        <v>#REF!</v>
      </c>
      <c r="H165" s="108" t="e">
        <f>IF(F165&gt;0,G165/F165*100,"")</f>
        <v>#REF!</v>
      </c>
      <c r="I165" s="108" t="e">
        <f>F165/F231</f>
        <v>#REF!</v>
      </c>
      <c r="J165" s="7"/>
      <c r="K165" s="7" t="e">
        <f>#REF!+K166+#REF!</f>
        <v>#REF!</v>
      </c>
      <c r="L165" s="7" t="e">
        <f>#REF!+L166+#REF!</f>
        <v>#REF!</v>
      </c>
      <c r="M165" s="7" t="e">
        <f>#REF!+M166+#REF!</f>
        <v>#REF!</v>
      </c>
      <c r="N165" s="7" t="e">
        <f>#REF!+N166+#REF!</f>
        <v>#REF!</v>
      </c>
      <c r="O165" s="7" t="e">
        <f>#REF!+O166+#REF!</f>
        <v>#REF!</v>
      </c>
      <c r="P165" s="121">
        <f>P166</f>
        <v>500</v>
      </c>
      <c r="Q165" s="121">
        <f>Q166</f>
        <v>0</v>
      </c>
      <c r="R165" s="121">
        <f>R166</f>
        <v>0</v>
      </c>
      <c r="S165" s="121">
        <f>S166</f>
        <v>0</v>
      </c>
      <c r="T165" s="686">
        <f t="shared" si="24"/>
        <v>0</v>
      </c>
    </row>
    <row r="166" spans="1:20" ht="21" customHeight="1" hidden="1">
      <c r="A166" s="195"/>
      <c r="B166" s="28" t="s">
        <v>858</v>
      </c>
      <c r="C166" s="18"/>
      <c r="D166" s="18"/>
      <c r="E166" s="18" t="s">
        <v>101</v>
      </c>
      <c r="F166" s="8">
        <v>6500</v>
      </c>
      <c r="G166" s="8">
        <v>4200</v>
      </c>
      <c r="H166" s="110">
        <f>IF(F166&gt;0,G166/F166*100,"")</f>
        <v>64.61538461538461</v>
      </c>
      <c r="I166" s="110" t="e">
        <f>F166/F231</f>
        <v>#DIV/0!</v>
      </c>
      <c r="J166" s="8"/>
      <c r="K166" s="8">
        <v>0</v>
      </c>
      <c r="L166" s="8">
        <v>0</v>
      </c>
      <c r="M166" s="8">
        <v>650</v>
      </c>
      <c r="N166" s="8">
        <v>0</v>
      </c>
      <c r="O166" s="8">
        <v>0</v>
      </c>
      <c r="P166" s="8">
        <v>500</v>
      </c>
      <c r="Q166" s="8">
        <v>0</v>
      </c>
      <c r="R166" s="8">
        <v>0</v>
      </c>
      <c r="S166" s="8">
        <v>0</v>
      </c>
      <c r="T166" s="686">
        <f t="shared" si="24"/>
        <v>0</v>
      </c>
    </row>
    <row r="167" spans="1:20" ht="16.5" customHeight="1" hidden="1">
      <c r="A167" s="687" t="s">
        <v>904</v>
      </c>
      <c r="B167" s="4" t="s">
        <v>906</v>
      </c>
      <c r="C167" s="27"/>
      <c r="D167" s="27" t="s">
        <v>504</v>
      </c>
      <c r="E167" s="27"/>
      <c r="F167" s="7">
        <f>F168</f>
        <v>19873</v>
      </c>
      <c r="G167" s="7">
        <f>G168</f>
        <v>20000</v>
      </c>
      <c r="H167" s="108">
        <f>G167/F167*100</f>
        <v>100.63905801841695</v>
      </c>
      <c r="I167" s="108" t="e">
        <f>F167/F214</f>
        <v>#REF!</v>
      </c>
      <c r="J167" s="7"/>
      <c r="K167" s="7">
        <f aca="true" t="shared" si="25" ref="K167:S167">K168</f>
        <v>0</v>
      </c>
      <c r="L167" s="7">
        <f t="shared" si="25"/>
        <v>0</v>
      </c>
      <c r="M167" s="7">
        <f t="shared" si="25"/>
        <v>12412</v>
      </c>
      <c r="N167" s="7">
        <f t="shared" si="25"/>
        <v>0</v>
      </c>
      <c r="O167" s="7">
        <f t="shared" si="25"/>
        <v>0</v>
      </c>
      <c r="P167" s="121">
        <f t="shared" si="25"/>
        <v>12412</v>
      </c>
      <c r="Q167" s="121">
        <f t="shared" si="25"/>
        <v>0</v>
      </c>
      <c r="R167" s="121">
        <f t="shared" si="25"/>
        <v>0</v>
      </c>
      <c r="S167" s="121">
        <f t="shared" si="25"/>
        <v>0</v>
      </c>
      <c r="T167" s="686">
        <f t="shared" si="24"/>
        <v>0</v>
      </c>
    </row>
    <row r="168" spans="1:20" ht="16.5" customHeight="1" hidden="1">
      <c r="A168" s="195"/>
      <c r="B168" s="11" t="s">
        <v>890</v>
      </c>
      <c r="C168" s="18"/>
      <c r="D168" s="18"/>
      <c r="E168" s="18" t="s">
        <v>105</v>
      </c>
      <c r="F168" s="8">
        <v>19873</v>
      </c>
      <c r="G168" s="8">
        <v>20000</v>
      </c>
      <c r="H168" s="110">
        <f>G168/F168*100</f>
        <v>100.63905801841695</v>
      </c>
      <c r="I168" s="110" t="e">
        <f>F168/F214</f>
        <v>#REF!</v>
      </c>
      <c r="J168" s="8"/>
      <c r="K168" s="8">
        <v>0</v>
      </c>
      <c r="L168" s="8">
        <v>0</v>
      </c>
      <c r="M168" s="8">
        <v>12412</v>
      </c>
      <c r="N168" s="8">
        <v>0</v>
      </c>
      <c r="O168" s="8">
        <v>0</v>
      </c>
      <c r="P168" s="8">
        <v>12412</v>
      </c>
      <c r="Q168" s="8">
        <v>0</v>
      </c>
      <c r="R168" s="8">
        <v>0</v>
      </c>
      <c r="S168" s="8">
        <v>0</v>
      </c>
      <c r="T168" s="686">
        <f t="shared" si="24"/>
        <v>0</v>
      </c>
    </row>
    <row r="169" spans="1:20" ht="24.75" customHeight="1">
      <c r="A169" s="195"/>
      <c r="B169" s="29" t="s">
        <v>43</v>
      </c>
      <c r="C169" s="18"/>
      <c r="D169" s="18"/>
      <c r="E169" s="18" t="s">
        <v>462</v>
      </c>
      <c r="F169" s="8"/>
      <c r="G169" s="8"/>
      <c r="H169" s="110"/>
      <c r="I169" s="110"/>
      <c r="J169" s="8"/>
      <c r="K169" s="8"/>
      <c r="L169" s="8"/>
      <c r="M169" s="8"/>
      <c r="N169" s="8"/>
      <c r="O169" s="8"/>
      <c r="P169" s="8"/>
      <c r="Q169" s="8"/>
      <c r="R169" s="8"/>
      <c r="S169" s="8">
        <v>27747</v>
      </c>
      <c r="T169" s="686">
        <f t="shared" si="24"/>
        <v>0.0008633948585018209</v>
      </c>
    </row>
    <row r="170" spans="1:20" s="107" customFormat="1" ht="16.5" customHeight="1">
      <c r="A170" s="684" t="s">
        <v>904</v>
      </c>
      <c r="B170" s="29" t="s">
        <v>700</v>
      </c>
      <c r="C170" s="31"/>
      <c r="D170" s="31" t="s">
        <v>395</v>
      </c>
      <c r="E170" s="31"/>
      <c r="F170" s="20"/>
      <c r="G170" s="20"/>
      <c r="H170" s="115"/>
      <c r="I170" s="115"/>
      <c r="J170" s="20"/>
      <c r="K170" s="20"/>
      <c r="L170" s="20"/>
      <c r="M170" s="20"/>
      <c r="N170" s="20"/>
      <c r="O170" s="20"/>
      <c r="P170" s="20"/>
      <c r="Q170" s="20"/>
      <c r="R170" s="20"/>
      <c r="S170" s="20">
        <f>S171</f>
        <v>0</v>
      </c>
      <c r="T170" s="686">
        <f t="shared" si="24"/>
        <v>0</v>
      </c>
    </row>
    <row r="171" spans="1:20" ht="15.75" customHeight="1">
      <c r="A171" s="195"/>
      <c r="B171" s="11" t="s">
        <v>858</v>
      </c>
      <c r="C171" s="18"/>
      <c r="D171" s="18"/>
      <c r="E171" s="18" t="s">
        <v>101</v>
      </c>
      <c r="F171" s="8"/>
      <c r="G171" s="8"/>
      <c r="H171" s="110"/>
      <c r="I171" s="110"/>
      <c r="J171" s="8"/>
      <c r="K171" s="8"/>
      <c r="L171" s="8"/>
      <c r="M171" s="8"/>
      <c r="N171" s="8"/>
      <c r="O171" s="8"/>
      <c r="P171" s="8"/>
      <c r="Q171" s="8"/>
      <c r="R171" s="8"/>
      <c r="S171" s="8">
        <v>0</v>
      </c>
      <c r="T171" s="686">
        <f t="shared" si="24"/>
        <v>0</v>
      </c>
    </row>
    <row r="172" spans="1:20" ht="25.5" customHeight="1">
      <c r="A172" s="680">
        <v>10</v>
      </c>
      <c r="B172" s="439" t="s">
        <v>396</v>
      </c>
      <c r="C172" s="440" t="s">
        <v>491</v>
      </c>
      <c r="D172" s="440"/>
      <c r="E172" s="440"/>
      <c r="F172" s="366"/>
      <c r="G172" s="366"/>
      <c r="H172" s="441"/>
      <c r="I172" s="441"/>
      <c r="J172" s="366"/>
      <c r="K172" s="366"/>
      <c r="L172" s="366"/>
      <c r="M172" s="366"/>
      <c r="N172" s="366"/>
      <c r="O172" s="366"/>
      <c r="P172" s="366"/>
      <c r="Q172" s="366"/>
      <c r="R172" s="366"/>
      <c r="S172" s="366">
        <f>S173+S175</f>
        <v>175501</v>
      </c>
      <c r="T172" s="683">
        <f t="shared" si="24"/>
        <v>0.005461010597971963</v>
      </c>
    </row>
    <row r="173" spans="1:20" s="107" customFormat="1" ht="15.75" customHeight="1">
      <c r="A173" s="684" t="s">
        <v>850</v>
      </c>
      <c r="B173" s="29" t="s">
        <v>906</v>
      </c>
      <c r="C173" s="31"/>
      <c r="D173" s="31" t="s">
        <v>504</v>
      </c>
      <c r="E173" s="31"/>
      <c r="F173" s="20">
        <f>F174</f>
        <v>19873</v>
      </c>
      <c r="G173" s="20">
        <f>G174</f>
        <v>20000</v>
      </c>
      <c r="H173" s="115">
        <f>G173/F173*100</f>
        <v>100.63905801841695</v>
      </c>
      <c r="I173" s="115" t="e">
        <f>F173/F222</f>
        <v>#DIV/0!</v>
      </c>
      <c r="J173" s="20"/>
      <c r="K173" s="20">
        <f aca="true" t="shared" si="26" ref="K173:S173">K174</f>
        <v>0</v>
      </c>
      <c r="L173" s="20">
        <f t="shared" si="26"/>
        <v>0</v>
      </c>
      <c r="M173" s="20">
        <f t="shared" si="26"/>
        <v>12412</v>
      </c>
      <c r="N173" s="20">
        <f t="shared" si="26"/>
        <v>0</v>
      </c>
      <c r="O173" s="20">
        <f t="shared" si="26"/>
        <v>0</v>
      </c>
      <c r="P173" s="255">
        <f t="shared" si="26"/>
        <v>12412</v>
      </c>
      <c r="Q173" s="255">
        <f t="shared" si="26"/>
        <v>0</v>
      </c>
      <c r="R173" s="255">
        <f t="shared" si="26"/>
        <v>0</v>
      </c>
      <c r="S173" s="255">
        <f t="shared" si="26"/>
        <v>20491</v>
      </c>
      <c r="T173" s="686">
        <f t="shared" si="24"/>
        <v>0.0006376121398911887</v>
      </c>
    </row>
    <row r="174" spans="1:20" ht="17.25" customHeight="1">
      <c r="A174" s="195"/>
      <c r="B174" s="11" t="s">
        <v>890</v>
      </c>
      <c r="C174" s="18"/>
      <c r="D174" s="18"/>
      <c r="E174" s="18" t="s">
        <v>105</v>
      </c>
      <c r="F174" s="8">
        <v>19873</v>
      </c>
      <c r="G174" s="8">
        <v>20000</v>
      </c>
      <c r="H174" s="110">
        <f>G174/F174*100</f>
        <v>100.63905801841695</v>
      </c>
      <c r="I174" s="110" t="e">
        <f>F174/F222</f>
        <v>#DIV/0!</v>
      </c>
      <c r="J174" s="8"/>
      <c r="K174" s="8">
        <v>0</v>
      </c>
      <c r="L174" s="8">
        <v>0</v>
      </c>
      <c r="M174" s="8">
        <v>12412</v>
      </c>
      <c r="N174" s="8">
        <v>0</v>
      </c>
      <c r="O174" s="8">
        <v>0</v>
      </c>
      <c r="P174" s="8">
        <v>12412</v>
      </c>
      <c r="Q174" s="8">
        <v>0</v>
      </c>
      <c r="R174" s="8">
        <v>0</v>
      </c>
      <c r="S174" s="8">
        <v>20491</v>
      </c>
      <c r="T174" s="686">
        <f t="shared" si="24"/>
        <v>0.0006376121398911887</v>
      </c>
    </row>
    <row r="175" spans="1:20" s="107" customFormat="1" ht="18" customHeight="1">
      <c r="A175" s="684" t="s">
        <v>860</v>
      </c>
      <c r="B175" s="30" t="s">
        <v>512</v>
      </c>
      <c r="C175" s="31"/>
      <c r="D175" s="31" t="s">
        <v>511</v>
      </c>
      <c r="E175" s="31"/>
      <c r="F175" s="20">
        <f>F177</f>
        <v>2000</v>
      </c>
      <c r="G175" s="20">
        <f>G177</f>
        <v>2000</v>
      </c>
      <c r="H175" s="115">
        <f>IF(F175&gt;0,G175/F175*100,"")</f>
        <v>100</v>
      </c>
      <c r="I175" s="115" t="e">
        <f>F175/F222</f>
        <v>#DIV/0!</v>
      </c>
      <c r="J175" s="20"/>
      <c r="K175" s="20">
        <f>K177</f>
        <v>0</v>
      </c>
      <c r="L175" s="20">
        <f>L177</f>
        <v>0</v>
      </c>
      <c r="M175" s="20">
        <f aca="true" t="shared" si="27" ref="M175:R175">M177+M179</f>
        <v>830</v>
      </c>
      <c r="N175" s="20">
        <f t="shared" si="27"/>
        <v>0</v>
      </c>
      <c r="O175" s="20">
        <f t="shared" si="27"/>
        <v>0</v>
      </c>
      <c r="P175" s="255">
        <f t="shared" si="27"/>
        <v>930</v>
      </c>
      <c r="Q175" s="255">
        <f t="shared" si="27"/>
        <v>0</v>
      </c>
      <c r="R175" s="255">
        <f t="shared" si="27"/>
        <v>0</v>
      </c>
      <c r="S175" s="255">
        <f>S176+S178+S179+S180</f>
        <v>155010</v>
      </c>
      <c r="T175" s="686">
        <f t="shared" si="24"/>
        <v>0.004823398458080774</v>
      </c>
    </row>
    <row r="176" spans="1:20" ht="25.5" customHeight="1">
      <c r="A176" s="687"/>
      <c r="B176" s="11" t="s">
        <v>866</v>
      </c>
      <c r="C176" s="27"/>
      <c r="D176" s="31"/>
      <c r="E176" s="31" t="s">
        <v>103</v>
      </c>
      <c r="F176" s="20"/>
      <c r="G176" s="20"/>
      <c r="H176" s="115"/>
      <c r="I176" s="115"/>
      <c r="J176" s="20"/>
      <c r="K176" s="20"/>
      <c r="L176" s="20"/>
      <c r="M176" s="20"/>
      <c r="N176" s="20"/>
      <c r="O176" s="20"/>
      <c r="P176" s="255"/>
      <c r="Q176" s="255"/>
      <c r="R176" s="255"/>
      <c r="S176" s="255">
        <v>0</v>
      </c>
      <c r="T176" s="686">
        <f t="shared" si="24"/>
        <v>0</v>
      </c>
    </row>
    <row r="177" spans="1:20" ht="16.5" customHeight="1" hidden="1">
      <c r="A177" s="195"/>
      <c r="B177" s="11" t="s">
        <v>858</v>
      </c>
      <c r="C177" s="18"/>
      <c r="D177" s="18"/>
      <c r="E177" s="18" t="s">
        <v>101</v>
      </c>
      <c r="F177" s="8">
        <v>2000</v>
      </c>
      <c r="G177" s="8">
        <v>2000</v>
      </c>
      <c r="H177" s="110">
        <f>IF(F177&gt;0,G177/F177*100,"")</f>
        <v>100</v>
      </c>
      <c r="I177" s="110" t="e">
        <f>F177/F222</f>
        <v>#DIV/0!</v>
      </c>
      <c r="J177" s="8"/>
      <c r="K177" s="8">
        <v>0</v>
      </c>
      <c r="L177" s="8">
        <v>0</v>
      </c>
      <c r="M177" s="8">
        <v>800</v>
      </c>
      <c r="N177" s="8">
        <v>0</v>
      </c>
      <c r="O177" s="8">
        <v>0</v>
      </c>
      <c r="P177" s="8">
        <v>900</v>
      </c>
      <c r="Q177" s="8">
        <v>0</v>
      </c>
      <c r="R177" s="8">
        <v>0</v>
      </c>
      <c r="S177" s="8">
        <v>0</v>
      </c>
      <c r="T177" s="686">
        <f t="shared" si="24"/>
        <v>0</v>
      </c>
    </row>
    <row r="178" spans="1:20" ht="16.5" customHeight="1">
      <c r="A178" s="195"/>
      <c r="B178" s="11" t="s">
        <v>858</v>
      </c>
      <c r="C178" s="18"/>
      <c r="D178" s="18"/>
      <c r="E178" s="18" t="s">
        <v>101</v>
      </c>
      <c r="F178" s="8"/>
      <c r="G178" s="8"/>
      <c r="H178" s="110"/>
      <c r="I178" s="110"/>
      <c r="J178" s="8"/>
      <c r="K178" s="8"/>
      <c r="L178" s="8"/>
      <c r="M178" s="8"/>
      <c r="N178" s="8"/>
      <c r="O178" s="8"/>
      <c r="P178" s="8"/>
      <c r="Q178" s="8"/>
      <c r="R178" s="8"/>
      <c r="S178" s="8">
        <v>180</v>
      </c>
      <c r="T178" s="686">
        <f t="shared" si="24"/>
        <v>5.6010045961843715E-06</v>
      </c>
    </row>
    <row r="179" spans="1:20" ht="16.5" customHeight="1">
      <c r="A179" s="195"/>
      <c r="B179" s="11" t="s">
        <v>890</v>
      </c>
      <c r="C179" s="18"/>
      <c r="D179" s="18"/>
      <c r="E179" s="18" t="s">
        <v>105</v>
      </c>
      <c r="F179" s="8"/>
      <c r="G179" s="8"/>
      <c r="H179" s="110"/>
      <c r="I179" s="110"/>
      <c r="J179" s="8"/>
      <c r="K179" s="8"/>
      <c r="L179" s="8"/>
      <c r="M179" s="8">
        <v>30</v>
      </c>
      <c r="N179" s="8">
        <v>0</v>
      </c>
      <c r="O179" s="8">
        <v>0</v>
      </c>
      <c r="P179" s="8">
        <v>30</v>
      </c>
      <c r="Q179" s="8">
        <v>0</v>
      </c>
      <c r="R179" s="8">
        <v>0</v>
      </c>
      <c r="S179" s="8">
        <v>14030</v>
      </c>
      <c r="T179" s="686">
        <f t="shared" si="24"/>
        <v>0.0004365671915803707</v>
      </c>
    </row>
    <row r="180" spans="1:21" ht="27.75" customHeight="1">
      <c r="A180" s="687"/>
      <c r="B180" s="208" t="s">
        <v>706</v>
      </c>
      <c r="C180" s="22"/>
      <c r="D180" s="22"/>
      <c r="E180" s="22">
        <v>2690</v>
      </c>
      <c r="F180" s="102"/>
      <c r="G180" s="114">
        <v>71700</v>
      </c>
      <c r="H180" s="115"/>
      <c r="I180" s="116"/>
      <c r="J180" s="20"/>
      <c r="K180" s="20">
        <v>0</v>
      </c>
      <c r="L180" s="20">
        <v>0</v>
      </c>
      <c r="M180" s="8">
        <v>48720</v>
      </c>
      <c r="N180" s="8">
        <v>0</v>
      </c>
      <c r="O180" s="8">
        <v>0</v>
      </c>
      <c r="P180" s="8">
        <v>15000</v>
      </c>
      <c r="Q180" s="8">
        <v>103519</v>
      </c>
      <c r="R180" s="8">
        <v>0</v>
      </c>
      <c r="S180" s="8">
        <v>140800</v>
      </c>
      <c r="T180" s="686">
        <f t="shared" si="24"/>
        <v>0.0043812302619042195</v>
      </c>
      <c r="U180" s="97"/>
    </row>
    <row r="181" spans="1:20" ht="27.75" customHeight="1">
      <c r="A181" s="680" t="s">
        <v>45</v>
      </c>
      <c r="B181" s="450" t="s">
        <v>907</v>
      </c>
      <c r="C181" s="440" t="s">
        <v>514</v>
      </c>
      <c r="D181" s="443"/>
      <c r="E181" s="443"/>
      <c r="F181" s="451" t="e">
        <f>F182+F187+F191</f>
        <v>#REF!</v>
      </c>
      <c r="G181" s="366" t="e">
        <f>G182+G187+G191</f>
        <v>#REF!</v>
      </c>
      <c r="H181" s="441" t="e">
        <f>IF(F181&gt;0,G181/F181*100,"")</f>
        <v>#REF!</v>
      </c>
      <c r="I181" s="441" t="e">
        <f>F181/F214</f>
        <v>#REF!</v>
      </c>
      <c r="J181" s="366"/>
      <c r="K181" s="366" t="e">
        <f aca="true" t="shared" si="28" ref="K181:R181">K182+K187+K191</f>
        <v>#REF!</v>
      </c>
      <c r="L181" s="366" t="e">
        <f t="shared" si="28"/>
        <v>#REF!</v>
      </c>
      <c r="M181" s="366" t="e">
        <f t="shared" si="28"/>
        <v>#REF!</v>
      </c>
      <c r="N181" s="366" t="e">
        <f t="shared" si="28"/>
        <v>#REF!</v>
      </c>
      <c r="O181" s="366" t="e">
        <f t="shared" si="28"/>
        <v>#REF!</v>
      </c>
      <c r="P181" s="452">
        <f t="shared" si="28"/>
        <v>434163</v>
      </c>
      <c r="Q181" s="452">
        <f t="shared" si="28"/>
        <v>0</v>
      </c>
      <c r="R181" s="452">
        <f t="shared" si="28"/>
        <v>904</v>
      </c>
      <c r="S181" s="452">
        <f>S182+S187+S191+S205</f>
        <v>1127498</v>
      </c>
      <c r="T181" s="683">
        <f t="shared" si="24"/>
        <v>0.03508400822327048</v>
      </c>
    </row>
    <row r="182" spans="1:20" s="107" customFormat="1" ht="26.25" customHeight="1">
      <c r="A182" s="684" t="s">
        <v>850</v>
      </c>
      <c r="B182" s="29" t="s">
        <v>517</v>
      </c>
      <c r="C182" s="31"/>
      <c r="D182" s="31" t="s">
        <v>516</v>
      </c>
      <c r="E182" s="31"/>
      <c r="F182" s="20">
        <f>F183+F184+F185</f>
        <v>84355</v>
      </c>
      <c r="G182" s="20" t="e">
        <f>G183+G184+G185+#REF!</f>
        <v>#REF!</v>
      </c>
      <c r="H182" s="115" t="e">
        <f>IF(F182&gt;0,G182/F182*100,"")</f>
        <v>#REF!</v>
      </c>
      <c r="I182" s="115" t="e">
        <f>F182/F214</f>
        <v>#REF!</v>
      </c>
      <c r="J182" s="20"/>
      <c r="K182" s="20" t="e">
        <f>K183+K184+K185+#REF!</f>
        <v>#REF!</v>
      </c>
      <c r="L182" s="20" t="e">
        <f>L183+L184+L185+#REF!</f>
        <v>#REF!</v>
      </c>
      <c r="M182" s="20" t="e">
        <f>#REF!+M183+M184+M185+#REF!+M186</f>
        <v>#REF!</v>
      </c>
      <c r="N182" s="20" t="e">
        <f>#REF!+N183+N184+#REF!+N185+N186</f>
        <v>#REF!</v>
      </c>
      <c r="O182" s="20" t="e">
        <f>#REF!+O183+O184+#REF!+O185+O186</f>
        <v>#REF!</v>
      </c>
      <c r="P182" s="255">
        <f>P183+P184+P185+P186</f>
        <v>67100</v>
      </c>
      <c r="Q182" s="255">
        <f>Q183+Q184+Q185+Q186</f>
        <v>0</v>
      </c>
      <c r="R182" s="255">
        <f>R183+R184+R185+R186</f>
        <v>0</v>
      </c>
      <c r="S182" s="255">
        <f>S183+S184+S185+S186</f>
        <v>86541</v>
      </c>
      <c r="T182" s="686">
        <f t="shared" si="24"/>
        <v>0.002692869659768843</v>
      </c>
    </row>
    <row r="183" spans="1:20" ht="22.5" customHeight="1">
      <c r="A183" s="195"/>
      <c r="B183" s="11" t="s">
        <v>588</v>
      </c>
      <c r="C183" s="18"/>
      <c r="D183" s="18"/>
      <c r="E183" s="18" t="s">
        <v>587</v>
      </c>
      <c r="F183" s="8">
        <v>8195</v>
      </c>
      <c r="G183" s="8">
        <v>33775</v>
      </c>
      <c r="H183" s="110">
        <f>IF(F183&gt;0,G183/F183*100,"")</f>
        <v>412.1415497254423</v>
      </c>
      <c r="I183" s="110" t="e">
        <f>F183/F214</f>
        <v>#REF!</v>
      </c>
      <c r="J183" s="8"/>
      <c r="K183" s="8">
        <v>0</v>
      </c>
      <c r="L183" s="8">
        <v>0</v>
      </c>
      <c r="M183" s="8">
        <v>20900</v>
      </c>
      <c r="N183" s="8">
        <v>0</v>
      </c>
      <c r="O183" s="8">
        <v>0</v>
      </c>
      <c r="P183" s="8">
        <v>18000</v>
      </c>
      <c r="Q183" s="8">
        <v>0</v>
      </c>
      <c r="R183" s="8">
        <v>0</v>
      </c>
      <c r="S183" s="8">
        <v>42700</v>
      </c>
      <c r="T183" s="686">
        <f t="shared" si="24"/>
        <v>0.001328682756983737</v>
      </c>
    </row>
    <row r="184" spans="1:20" ht="24" customHeight="1">
      <c r="A184" s="195"/>
      <c r="B184" s="208" t="s">
        <v>187</v>
      </c>
      <c r="C184" s="18"/>
      <c r="D184" s="18"/>
      <c r="E184" s="18" t="s">
        <v>103</v>
      </c>
      <c r="F184" s="8">
        <v>60000</v>
      </c>
      <c r="G184" s="8">
        <v>66000</v>
      </c>
      <c r="H184" s="110">
        <f>IF(F184&gt;0,G184/F184*100,"")</f>
        <v>110.00000000000001</v>
      </c>
      <c r="I184" s="110" t="e">
        <f>F184/F214</f>
        <v>#REF!</v>
      </c>
      <c r="J184" s="8"/>
      <c r="K184" s="8">
        <v>0</v>
      </c>
      <c r="L184" s="8">
        <v>0</v>
      </c>
      <c r="M184" s="8">
        <v>55000</v>
      </c>
      <c r="N184" s="8">
        <v>0</v>
      </c>
      <c r="O184" s="8">
        <v>0</v>
      </c>
      <c r="P184" s="8">
        <v>49000</v>
      </c>
      <c r="Q184" s="8">
        <v>0</v>
      </c>
      <c r="R184" s="8">
        <v>0</v>
      </c>
      <c r="S184" s="8">
        <v>28641</v>
      </c>
      <c r="T184" s="686">
        <f t="shared" si="24"/>
        <v>0.0008912131813295366</v>
      </c>
    </row>
    <row r="185" spans="1:20" ht="15" customHeight="1">
      <c r="A185" s="195"/>
      <c r="B185" s="11" t="s">
        <v>858</v>
      </c>
      <c r="C185" s="18"/>
      <c r="D185" s="18"/>
      <c r="E185" s="18" t="s">
        <v>101</v>
      </c>
      <c r="F185" s="8">
        <v>16160</v>
      </c>
      <c r="G185" s="8">
        <v>16748</v>
      </c>
      <c r="H185" s="110">
        <f>IF(F185&gt;0,G185/F185*100,"")</f>
        <v>103.63861386138613</v>
      </c>
      <c r="I185" s="110" t="e">
        <f>F185/F214</f>
        <v>#REF!</v>
      </c>
      <c r="J185" s="8"/>
      <c r="K185" s="8">
        <v>0</v>
      </c>
      <c r="L185" s="8">
        <v>0</v>
      </c>
      <c r="M185" s="8">
        <v>700</v>
      </c>
      <c r="N185" s="8">
        <v>0</v>
      </c>
      <c r="O185" s="8">
        <v>0</v>
      </c>
      <c r="P185" s="8">
        <v>100</v>
      </c>
      <c r="Q185" s="8">
        <v>0</v>
      </c>
      <c r="R185" s="8">
        <v>0</v>
      </c>
      <c r="S185" s="8">
        <v>200</v>
      </c>
      <c r="T185" s="686">
        <f t="shared" si="24"/>
        <v>6.223338440204857E-06</v>
      </c>
    </row>
    <row r="186" spans="1:20" ht="14.25" customHeight="1">
      <c r="A186" s="195"/>
      <c r="B186" s="11" t="s">
        <v>890</v>
      </c>
      <c r="C186" s="18"/>
      <c r="D186" s="18"/>
      <c r="E186" s="18" t="s">
        <v>871</v>
      </c>
      <c r="F186" s="8"/>
      <c r="G186" s="8"/>
      <c r="H186" s="110"/>
      <c r="I186" s="110"/>
      <c r="J186" s="8"/>
      <c r="K186" s="8"/>
      <c r="L186" s="8"/>
      <c r="M186" s="8">
        <v>200</v>
      </c>
      <c r="N186" s="8">
        <v>0</v>
      </c>
      <c r="O186" s="8">
        <v>0</v>
      </c>
      <c r="P186" s="8">
        <v>0</v>
      </c>
      <c r="Q186" s="8">
        <v>0</v>
      </c>
      <c r="R186" s="8">
        <v>0</v>
      </c>
      <c r="S186" s="8">
        <v>15000</v>
      </c>
      <c r="T186" s="686">
        <f t="shared" si="24"/>
        <v>0.0004667503830153643</v>
      </c>
    </row>
    <row r="187" spans="1:20" s="107" customFormat="1" ht="24.75" customHeight="1">
      <c r="A187" s="684" t="s">
        <v>860</v>
      </c>
      <c r="B187" s="29" t="s">
        <v>128</v>
      </c>
      <c r="C187" s="31"/>
      <c r="D187" s="31" t="s">
        <v>519</v>
      </c>
      <c r="E187" s="31"/>
      <c r="F187" s="20" t="e">
        <f>F188+F189+#REF!+F190</f>
        <v>#REF!</v>
      </c>
      <c r="G187" s="20" t="e">
        <f>G188+G189+#REF!+G190</f>
        <v>#REF!</v>
      </c>
      <c r="H187" s="115" t="e">
        <f aca="true" t="shared" si="29" ref="H187:H196">IF(F187&gt;0,G187/F187*100,"")</f>
        <v>#REF!</v>
      </c>
      <c r="I187" s="115" t="e">
        <f>F187/F214</f>
        <v>#REF!</v>
      </c>
      <c r="J187" s="20"/>
      <c r="K187" s="20" t="e">
        <f>K189+#REF!+K190</f>
        <v>#REF!</v>
      </c>
      <c r="L187" s="20" t="e">
        <f>L189+#REF!+L190</f>
        <v>#REF!</v>
      </c>
      <c r="M187" s="20" t="e">
        <f>M189+#REF!+M190</f>
        <v>#REF!</v>
      </c>
      <c r="N187" s="20" t="e">
        <f>N189+#REF!+N190</f>
        <v>#REF!</v>
      </c>
      <c r="O187" s="20" t="e">
        <f>O189+#REF!+O190</f>
        <v>#REF!</v>
      </c>
      <c r="P187" s="255">
        <f>P189+P190</f>
        <v>22890</v>
      </c>
      <c r="Q187" s="255">
        <f>Q189+Q190</f>
        <v>0</v>
      </c>
      <c r="R187" s="255">
        <f>R189+R190</f>
        <v>904</v>
      </c>
      <c r="S187" s="255">
        <f>S189+S190</f>
        <v>9346</v>
      </c>
      <c r="T187" s="686">
        <f t="shared" si="24"/>
        <v>0.00029081660531077297</v>
      </c>
    </row>
    <row r="188" spans="1:20" ht="16.5" customHeight="1" hidden="1">
      <c r="A188" s="195"/>
      <c r="B188" s="11" t="s">
        <v>862</v>
      </c>
      <c r="C188" s="18"/>
      <c r="D188" s="18"/>
      <c r="E188" s="18" t="s">
        <v>863</v>
      </c>
      <c r="F188" s="8">
        <v>10</v>
      </c>
      <c r="G188" s="8">
        <v>0</v>
      </c>
      <c r="H188" s="110">
        <f t="shared" si="29"/>
        <v>0</v>
      </c>
      <c r="I188" s="110" t="e">
        <f>F188/F214</f>
        <v>#REF!</v>
      </c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686">
        <f t="shared" si="24"/>
        <v>0</v>
      </c>
    </row>
    <row r="189" spans="1:20" ht="23.25" customHeight="1">
      <c r="A189" s="195"/>
      <c r="B189" s="208" t="s">
        <v>187</v>
      </c>
      <c r="C189" s="18"/>
      <c r="D189" s="18"/>
      <c r="E189" s="18" t="s">
        <v>103</v>
      </c>
      <c r="F189" s="8">
        <v>19580</v>
      </c>
      <c r="G189" s="8">
        <v>23550</v>
      </c>
      <c r="H189" s="110">
        <f t="shared" si="29"/>
        <v>120.27579162410622</v>
      </c>
      <c r="I189" s="110" t="e">
        <f>F189/F214</f>
        <v>#REF!</v>
      </c>
      <c r="J189" s="8"/>
      <c r="K189" s="8">
        <v>0</v>
      </c>
      <c r="L189" s="8">
        <v>0</v>
      </c>
      <c r="M189" s="8">
        <v>22560</v>
      </c>
      <c r="N189" s="8">
        <v>0</v>
      </c>
      <c r="O189" s="8">
        <v>0</v>
      </c>
      <c r="P189" s="8">
        <v>22740</v>
      </c>
      <c r="Q189" s="8">
        <v>0</v>
      </c>
      <c r="R189" s="8">
        <v>760</v>
      </c>
      <c r="S189" s="8">
        <v>9246</v>
      </c>
      <c r="T189" s="686">
        <f t="shared" si="24"/>
        <v>0.00028770493609067054</v>
      </c>
    </row>
    <row r="190" spans="1:20" ht="16.5" customHeight="1">
      <c r="A190" s="195"/>
      <c r="B190" s="11" t="s">
        <v>868</v>
      </c>
      <c r="C190" s="18"/>
      <c r="D190" s="18"/>
      <c r="E190" s="18" t="s">
        <v>104</v>
      </c>
      <c r="F190" s="8">
        <v>1563</v>
      </c>
      <c r="G190" s="8">
        <v>1863</v>
      </c>
      <c r="H190" s="110">
        <f t="shared" si="29"/>
        <v>119.19385796545106</v>
      </c>
      <c r="I190" s="110" t="e">
        <f>F190/F214</f>
        <v>#REF!</v>
      </c>
      <c r="J190" s="8"/>
      <c r="K190" s="8">
        <v>0</v>
      </c>
      <c r="L190" s="8">
        <v>0</v>
      </c>
      <c r="M190" s="8">
        <v>100</v>
      </c>
      <c r="N190" s="8">
        <v>0</v>
      </c>
      <c r="O190" s="8">
        <v>0</v>
      </c>
      <c r="P190" s="8">
        <v>150</v>
      </c>
      <c r="Q190" s="8">
        <v>0</v>
      </c>
      <c r="R190" s="8">
        <v>144</v>
      </c>
      <c r="S190" s="8">
        <v>100</v>
      </c>
      <c r="T190" s="686">
        <f t="shared" si="24"/>
        <v>3.1116692201024287E-06</v>
      </c>
    </row>
    <row r="191" spans="1:20" s="107" customFormat="1" ht="16.5" customHeight="1">
      <c r="A191" s="684" t="s">
        <v>902</v>
      </c>
      <c r="B191" s="29" t="s">
        <v>522</v>
      </c>
      <c r="C191" s="31"/>
      <c r="D191" s="31" t="s">
        <v>521</v>
      </c>
      <c r="E191" s="31"/>
      <c r="F191" s="20">
        <f>F192+F193</f>
        <v>21680</v>
      </c>
      <c r="G191" s="20">
        <f>G192+G193</f>
        <v>17100</v>
      </c>
      <c r="H191" s="115">
        <f t="shared" si="29"/>
        <v>78.87453874538745</v>
      </c>
      <c r="I191" s="115" t="e">
        <f>F191/F214</f>
        <v>#REF!</v>
      </c>
      <c r="J191" s="20"/>
      <c r="K191" s="20">
        <f>K192+K193</f>
        <v>0</v>
      </c>
      <c r="L191" s="20">
        <f>L192+L193</f>
        <v>0</v>
      </c>
      <c r="M191" s="20">
        <f>M192+M193+M196</f>
        <v>278260</v>
      </c>
      <c r="N191" s="20">
        <f>N192+N193+N196</f>
        <v>0</v>
      </c>
      <c r="O191" s="20">
        <f>O192+O193+O196</f>
        <v>0</v>
      </c>
      <c r="P191" s="255">
        <f>P192+P193+P196+P201+P202</f>
        <v>344173</v>
      </c>
      <c r="Q191" s="255">
        <f>Q192+Q193+Q196+Q201+Q202</f>
        <v>0</v>
      </c>
      <c r="R191" s="255">
        <f>R192+R193+R196+R201+R202</f>
        <v>0</v>
      </c>
      <c r="S191" s="255">
        <f>S192+S193+S201+S202+S203+S204</f>
        <v>673451</v>
      </c>
      <c r="T191" s="686">
        <f t="shared" si="24"/>
        <v>0.02095556747947201</v>
      </c>
    </row>
    <row r="192" spans="1:20" ht="23.25" customHeight="1">
      <c r="A192" s="195"/>
      <c r="B192" s="208" t="s">
        <v>866</v>
      </c>
      <c r="C192" s="18"/>
      <c r="D192" s="18"/>
      <c r="E192" s="18" t="s">
        <v>103</v>
      </c>
      <c r="F192" s="8">
        <v>19535</v>
      </c>
      <c r="G192" s="8">
        <v>14800</v>
      </c>
      <c r="H192" s="110">
        <f t="shared" si="29"/>
        <v>75.76145380087024</v>
      </c>
      <c r="I192" s="110" t="e">
        <f>F192/F214</f>
        <v>#REF!</v>
      </c>
      <c r="J192" s="8"/>
      <c r="K192" s="8">
        <v>0</v>
      </c>
      <c r="L192" s="8">
        <v>0</v>
      </c>
      <c r="M192" s="8">
        <v>165726</v>
      </c>
      <c r="N192" s="8">
        <v>0</v>
      </c>
      <c r="O192" s="8">
        <v>0</v>
      </c>
      <c r="P192" s="8">
        <v>187501</v>
      </c>
      <c r="Q192" s="8">
        <v>0</v>
      </c>
      <c r="R192" s="8">
        <v>0</v>
      </c>
      <c r="S192" s="8">
        <v>133356</v>
      </c>
      <c r="T192" s="686">
        <f t="shared" si="24"/>
        <v>0.004149597605159795</v>
      </c>
    </row>
    <row r="193" spans="1:20" ht="16.5" customHeight="1">
      <c r="A193" s="195"/>
      <c r="B193" s="459" t="s">
        <v>868</v>
      </c>
      <c r="C193" s="18"/>
      <c r="D193" s="18"/>
      <c r="E193" s="18" t="s">
        <v>104</v>
      </c>
      <c r="F193" s="8">
        <v>2145</v>
      </c>
      <c r="G193" s="8">
        <v>2300</v>
      </c>
      <c r="H193" s="110">
        <f t="shared" si="29"/>
        <v>107.22610722610723</v>
      </c>
      <c r="I193" s="110" t="e">
        <f>F193/F214</f>
        <v>#REF!</v>
      </c>
      <c r="J193" s="8"/>
      <c r="K193" s="8">
        <v>0</v>
      </c>
      <c r="L193" s="8">
        <v>0</v>
      </c>
      <c r="M193" s="8">
        <v>92012</v>
      </c>
      <c r="N193" s="8">
        <v>0</v>
      </c>
      <c r="O193" s="8">
        <v>0</v>
      </c>
      <c r="P193" s="8">
        <v>100384</v>
      </c>
      <c r="Q193" s="8">
        <v>0</v>
      </c>
      <c r="R193" s="8">
        <v>0</v>
      </c>
      <c r="S193" s="8">
        <v>86395</v>
      </c>
      <c r="T193" s="686">
        <f t="shared" si="24"/>
        <v>0.002688326622707493</v>
      </c>
    </row>
    <row r="194" spans="1:20" ht="18.75" customHeight="1" hidden="1">
      <c r="A194" s="687" t="s">
        <v>829</v>
      </c>
      <c r="B194" s="460" t="s">
        <v>673</v>
      </c>
      <c r="C194" s="18" t="s">
        <v>534</v>
      </c>
      <c r="D194" s="18"/>
      <c r="E194" s="18"/>
      <c r="F194" s="8">
        <f>F195</f>
        <v>700</v>
      </c>
      <c r="G194" s="8">
        <f>G195</f>
        <v>0</v>
      </c>
      <c r="H194" s="110">
        <f t="shared" si="29"/>
        <v>0</v>
      </c>
      <c r="I194" s="110" t="e">
        <f>F194/F214</f>
        <v>#REF!</v>
      </c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686">
        <f t="shared" si="24"/>
        <v>0</v>
      </c>
    </row>
    <row r="195" spans="1:20" ht="19.5" customHeight="1" hidden="1">
      <c r="A195" s="195" t="s">
        <v>850</v>
      </c>
      <c r="B195" s="459" t="s">
        <v>357</v>
      </c>
      <c r="C195" s="18"/>
      <c r="D195" s="18" t="s">
        <v>539</v>
      </c>
      <c r="E195" s="18"/>
      <c r="F195" s="8">
        <f>F196</f>
        <v>700</v>
      </c>
      <c r="G195" s="8">
        <f>G196</f>
        <v>0</v>
      </c>
      <c r="H195" s="110">
        <f t="shared" si="29"/>
        <v>0</v>
      </c>
      <c r="I195" s="110" t="e">
        <f>F195/F214</f>
        <v>#REF!</v>
      </c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686">
        <f t="shared" si="24"/>
        <v>0</v>
      </c>
    </row>
    <row r="196" spans="1:20" ht="20.25" customHeight="1" hidden="1">
      <c r="A196" s="195"/>
      <c r="B196" s="459" t="s">
        <v>890</v>
      </c>
      <c r="C196" s="18"/>
      <c r="D196" s="18"/>
      <c r="E196" s="18" t="s">
        <v>871</v>
      </c>
      <c r="F196" s="8">
        <v>700</v>
      </c>
      <c r="G196" s="8">
        <v>0</v>
      </c>
      <c r="H196" s="110">
        <f t="shared" si="29"/>
        <v>0</v>
      </c>
      <c r="I196" s="110">
        <f>G196/F196*100</f>
        <v>0</v>
      </c>
      <c r="J196" s="8"/>
      <c r="K196" s="8"/>
      <c r="L196" s="8"/>
      <c r="M196" s="8">
        <v>20522</v>
      </c>
      <c r="N196" s="8">
        <v>0</v>
      </c>
      <c r="O196" s="8">
        <v>0</v>
      </c>
      <c r="P196" s="8">
        <v>0</v>
      </c>
      <c r="Q196" s="8">
        <v>0</v>
      </c>
      <c r="R196" s="8">
        <v>0</v>
      </c>
      <c r="S196" s="8"/>
      <c r="T196" s="686">
        <f t="shared" si="24"/>
        <v>0</v>
      </c>
    </row>
    <row r="197" spans="1:20" ht="19.5" customHeight="1" hidden="1">
      <c r="A197" s="195"/>
      <c r="B197" s="459"/>
      <c r="C197" s="18"/>
      <c r="D197" s="18"/>
      <c r="E197" s="18"/>
      <c r="F197" s="8"/>
      <c r="G197" s="8"/>
      <c r="H197" s="110"/>
      <c r="I197" s="110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686">
        <f t="shared" si="24"/>
        <v>0</v>
      </c>
    </row>
    <row r="198" spans="1:20" ht="18.75" customHeight="1" hidden="1">
      <c r="A198" s="687" t="s">
        <v>829</v>
      </c>
      <c r="B198" s="460" t="s">
        <v>673</v>
      </c>
      <c r="C198" s="27" t="s">
        <v>534</v>
      </c>
      <c r="D198" s="27"/>
      <c r="E198" s="27"/>
      <c r="F198" s="7"/>
      <c r="G198" s="7">
        <f>G199</f>
        <v>450</v>
      </c>
      <c r="H198" s="108"/>
      <c r="I198" s="108"/>
      <c r="J198" s="7"/>
      <c r="K198" s="7">
        <f aca="true" t="shared" si="30" ref="K198:R199">K199</f>
        <v>0</v>
      </c>
      <c r="L198" s="7">
        <f t="shared" si="30"/>
        <v>0</v>
      </c>
      <c r="M198" s="7">
        <f t="shared" si="30"/>
        <v>902</v>
      </c>
      <c r="N198" s="7">
        <f t="shared" si="30"/>
        <v>0</v>
      </c>
      <c r="O198" s="7">
        <f t="shared" si="30"/>
        <v>0</v>
      </c>
      <c r="P198" s="121">
        <f t="shared" si="30"/>
        <v>0</v>
      </c>
      <c r="Q198" s="121">
        <f t="shared" si="30"/>
        <v>0</v>
      </c>
      <c r="R198" s="121">
        <f t="shared" si="30"/>
        <v>0</v>
      </c>
      <c r="S198" s="8"/>
      <c r="T198" s="686">
        <f t="shared" si="24"/>
        <v>0</v>
      </c>
    </row>
    <row r="199" spans="1:20" ht="19.5" customHeight="1" hidden="1">
      <c r="A199" s="195" t="s">
        <v>850</v>
      </c>
      <c r="B199" s="459" t="s">
        <v>357</v>
      </c>
      <c r="C199" s="18"/>
      <c r="D199" s="27" t="s">
        <v>539</v>
      </c>
      <c r="E199" s="27"/>
      <c r="F199" s="7"/>
      <c r="G199" s="7">
        <f>G200</f>
        <v>450</v>
      </c>
      <c r="H199" s="108"/>
      <c r="I199" s="108"/>
      <c r="J199" s="7"/>
      <c r="K199" s="7">
        <f t="shared" si="30"/>
        <v>0</v>
      </c>
      <c r="L199" s="7">
        <f t="shared" si="30"/>
        <v>0</v>
      </c>
      <c r="M199" s="7">
        <f t="shared" si="30"/>
        <v>902</v>
      </c>
      <c r="N199" s="7">
        <f t="shared" si="30"/>
        <v>0</v>
      </c>
      <c r="O199" s="7">
        <f t="shared" si="30"/>
        <v>0</v>
      </c>
      <c r="P199" s="121">
        <f t="shared" si="30"/>
        <v>0</v>
      </c>
      <c r="Q199" s="121">
        <f t="shared" si="30"/>
        <v>0</v>
      </c>
      <c r="R199" s="121">
        <f t="shared" si="30"/>
        <v>0</v>
      </c>
      <c r="S199" s="8"/>
      <c r="T199" s="686">
        <f t="shared" si="24"/>
        <v>0</v>
      </c>
    </row>
    <row r="200" spans="1:20" ht="19.5" customHeight="1" hidden="1">
      <c r="A200" s="195"/>
      <c r="B200" s="459" t="s">
        <v>890</v>
      </c>
      <c r="C200" s="18"/>
      <c r="D200" s="18"/>
      <c r="E200" s="18" t="s">
        <v>871</v>
      </c>
      <c r="F200" s="8"/>
      <c r="G200" s="8">
        <v>450</v>
      </c>
      <c r="H200" s="110"/>
      <c r="I200" s="110"/>
      <c r="J200" s="8"/>
      <c r="K200" s="8">
        <v>0</v>
      </c>
      <c r="L200" s="8">
        <v>0</v>
      </c>
      <c r="M200" s="8">
        <v>902</v>
      </c>
      <c r="N200" s="8">
        <v>0</v>
      </c>
      <c r="O200" s="8">
        <v>0</v>
      </c>
      <c r="P200" s="8">
        <v>0</v>
      </c>
      <c r="Q200" s="8">
        <v>0</v>
      </c>
      <c r="R200" s="8">
        <v>0</v>
      </c>
      <c r="S200" s="8"/>
      <c r="T200" s="686">
        <f t="shared" si="24"/>
        <v>0</v>
      </c>
    </row>
    <row r="201" spans="1:20" ht="15.75" customHeight="1">
      <c r="A201" s="195"/>
      <c r="B201" s="459" t="s">
        <v>858</v>
      </c>
      <c r="C201" s="18"/>
      <c r="D201" s="18"/>
      <c r="E201" s="18" t="s">
        <v>101</v>
      </c>
      <c r="F201" s="8"/>
      <c r="G201" s="8"/>
      <c r="H201" s="110"/>
      <c r="I201" s="110"/>
      <c r="J201" s="8"/>
      <c r="K201" s="8"/>
      <c r="L201" s="8"/>
      <c r="M201" s="8"/>
      <c r="N201" s="8"/>
      <c r="O201" s="8"/>
      <c r="P201" s="8">
        <v>4719</v>
      </c>
      <c r="Q201" s="8">
        <v>0</v>
      </c>
      <c r="R201" s="8">
        <v>0</v>
      </c>
      <c r="S201" s="8">
        <v>200</v>
      </c>
      <c r="T201" s="686">
        <f t="shared" si="24"/>
        <v>6.223338440204857E-06</v>
      </c>
    </row>
    <row r="202" spans="1:20" ht="15.75" customHeight="1">
      <c r="A202" s="195"/>
      <c r="B202" s="459" t="s">
        <v>890</v>
      </c>
      <c r="C202" s="18"/>
      <c r="D202" s="18"/>
      <c r="E202" s="18" t="s">
        <v>105</v>
      </c>
      <c r="F202" s="8"/>
      <c r="G202" s="8"/>
      <c r="H202" s="110"/>
      <c r="I202" s="110"/>
      <c r="J202" s="8"/>
      <c r="K202" s="8"/>
      <c r="L202" s="8"/>
      <c r="M202" s="8"/>
      <c r="N202" s="8"/>
      <c r="O202" s="8"/>
      <c r="P202" s="8">
        <v>51569</v>
      </c>
      <c r="Q202" s="8">
        <v>0</v>
      </c>
      <c r="R202" s="8">
        <v>0</v>
      </c>
      <c r="S202" s="8">
        <v>3500</v>
      </c>
      <c r="T202" s="686">
        <f t="shared" si="24"/>
        <v>0.000108908422703585</v>
      </c>
    </row>
    <row r="203" spans="1:20" s="37" customFormat="1" ht="24" customHeight="1">
      <c r="A203" s="687"/>
      <c r="B203" s="459" t="s">
        <v>702</v>
      </c>
      <c r="C203" s="27"/>
      <c r="D203" s="27"/>
      <c r="E203" s="31" t="s">
        <v>68</v>
      </c>
      <c r="F203" s="7"/>
      <c r="G203" s="7"/>
      <c r="H203" s="108"/>
      <c r="I203" s="108"/>
      <c r="J203" s="7"/>
      <c r="K203" s="7"/>
      <c r="L203" s="7"/>
      <c r="M203" s="7"/>
      <c r="N203" s="7"/>
      <c r="O203" s="7"/>
      <c r="P203" s="121"/>
      <c r="Q203" s="121"/>
      <c r="R203" s="121"/>
      <c r="S203" s="255">
        <v>450000</v>
      </c>
      <c r="T203" s="686">
        <f t="shared" si="24"/>
        <v>0.01400251149046093</v>
      </c>
    </row>
    <row r="204" spans="1:20" ht="24" customHeight="1">
      <c r="A204" s="684"/>
      <c r="B204" s="459" t="s">
        <v>702</v>
      </c>
      <c r="C204" s="31"/>
      <c r="D204" s="31"/>
      <c r="E204" s="31" t="s">
        <v>856</v>
      </c>
      <c r="F204" s="20"/>
      <c r="G204" s="20"/>
      <c r="H204" s="115"/>
      <c r="I204" s="115"/>
      <c r="J204" s="20"/>
      <c r="K204" s="20"/>
      <c r="L204" s="20"/>
      <c r="M204" s="20"/>
      <c r="N204" s="20"/>
      <c r="O204" s="20"/>
      <c r="P204" s="255"/>
      <c r="Q204" s="255"/>
      <c r="R204" s="255"/>
      <c r="S204" s="255">
        <v>0</v>
      </c>
      <c r="T204" s="686">
        <f t="shared" si="24"/>
        <v>0</v>
      </c>
    </row>
    <row r="205" spans="1:20" ht="15.75" customHeight="1">
      <c r="A205" s="195" t="s">
        <v>904</v>
      </c>
      <c r="B205" s="459" t="s">
        <v>46</v>
      </c>
      <c r="C205" s="18"/>
      <c r="D205" s="18" t="s">
        <v>526</v>
      </c>
      <c r="E205" s="18"/>
      <c r="F205" s="8"/>
      <c r="G205" s="8"/>
      <c r="H205" s="110"/>
      <c r="I205" s="110"/>
      <c r="J205" s="8"/>
      <c r="K205" s="8"/>
      <c r="L205" s="8"/>
      <c r="M205" s="8"/>
      <c r="N205" s="8"/>
      <c r="O205" s="8"/>
      <c r="P205" s="8"/>
      <c r="Q205" s="8"/>
      <c r="R205" s="8"/>
      <c r="S205" s="8">
        <f>S206+S207</f>
        <v>358160</v>
      </c>
      <c r="T205" s="686">
        <f t="shared" si="24"/>
        <v>0.011144754478718858</v>
      </c>
    </row>
    <row r="206" spans="1:20" s="37" customFormat="1" ht="46.5" customHeight="1">
      <c r="A206" s="684"/>
      <c r="B206" s="208" t="s">
        <v>2</v>
      </c>
      <c r="C206" s="57"/>
      <c r="D206" s="57"/>
      <c r="E206" s="22">
        <v>2888</v>
      </c>
      <c r="F206" s="102"/>
      <c r="G206" s="114"/>
      <c r="H206" s="115"/>
      <c r="I206" s="116"/>
      <c r="J206" s="20"/>
      <c r="K206" s="20"/>
      <c r="L206" s="20"/>
      <c r="M206" s="20"/>
      <c r="N206" s="20"/>
      <c r="O206" s="20"/>
      <c r="P206" s="20"/>
      <c r="Q206" s="20"/>
      <c r="R206" s="20"/>
      <c r="S206" s="20">
        <v>243549</v>
      </c>
      <c r="T206" s="686">
        <f t="shared" si="24"/>
        <v>0.007578439268867264</v>
      </c>
    </row>
    <row r="207" spans="1:20" s="37" customFormat="1" ht="44.25" customHeight="1">
      <c r="A207" s="684"/>
      <c r="B207" s="208" t="s">
        <v>2</v>
      </c>
      <c r="C207" s="57"/>
      <c r="D207" s="57"/>
      <c r="E207" s="22">
        <v>2889</v>
      </c>
      <c r="F207" s="102"/>
      <c r="G207" s="114"/>
      <c r="H207" s="115"/>
      <c r="I207" s="116"/>
      <c r="J207" s="20"/>
      <c r="K207" s="20"/>
      <c r="L207" s="20"/>
      <c r="M207" s="20"/>
      <c r="N207" s="20"/>
      <c r="O207" s="20"/>
      <c r="P207" s="20"/>
      <c r="Q207" s="20"/>
      <c r="R207" s="20"/>
      <c r="S207" s="20">
        <v>114611</v>
      </c>
      <c r="T207" s="686">
        <f t="shared" si="24"/>
        <v>0.0035663152098515945</v>
      </c>
    </row>
    <row r="208" spans="1:21" s="37" customFormat="1" ht="25.5">
      <c r="A208" s="680" t="s">
        <v>47</v>
      </c>
      <c r="B208" s="439" t="s">
        <v>48</v>
      </c>
      <c r="C208" s="433">
        <v>900</v>
      </c>
      <c r="D208" s="433"/>
      <c r="E208" s="433"/>
      <c r="F208" s="447"/>
      <c r="G208" s="445"/>
      <c r="H208" s="441"/>
      <c r="I208" s="446"/>
      <c r="J208" s="366"/>
      <c r="K208" s="366"/>
      <c r="L208" s="366"/>
      <c r="M208" s="366"/>
      <c r="N208" s="366"/>
      <c r="O208" s="366"/>
      <c r="P208" s="366"/>
      <c r="Q208" s="366"/>
      <c r="R208" s="366"/>
      <c r="S208" s="366">
        <f>S209</f>
        <v>40000</v>
      </c>
      <c r="T208" s="683">
        <f t="shared" si="24"/>
        <v>0.0012446676880409715</v>
      </c>
      <c r="U208" s="119"/>
    </row>
    <row r="209" spans="1:21" ht="29.25" customHeight="1">
      <c r="A209" s="684" t="s">
        <v>850</v>
      </c>
      <c r="B209" s="11" t="s">
        <v>49</v>
      </c>
      <c r="C209" s="22"/>
      <c r="D209" s="22">
        <v>90011</v>
      </c>
      <c r="E209" s="8"/>
      <c r="F209" s="102"/>
      <c r="G209" s="114"/>
      <c r="H209" s="115"/>
      <c r="I209" s="116"/>
      <c r="J209" s="20"/>
      <c r="K209" s="20"/>
      <c r="L209" s="20"/>
      <c r="M209" s="8"/>
      <c r="N209" s="8"/>
      <c r="O209" s="8"/>
      <c r="P209" s="8"/>
      <c r="Q209" s="8"/>
      <c r="R209" s="8"/>
      <c r="S209" s="8">
        <f>S210</f>
        <v>40000</v>
      </c>
      <c r="T209" s="707">
        <f t="shared" si="24"/>
        <v>0.0012446676880409715</v>
      </c>
      <c r="U209" s="41"/>
    </row>
    <row r="210" spans="1:34" ht="34.5" customHeight="1">
      <c r="A210" s="687"/>
      <c r="B210" s="208" t="s">
        <v>705</v>
      </c>
      <c r="C210" s="22"/>
      <c r="D210" s="22"/>
      <c r="E210" s="22">
        <v>6260</v>
      </c>
      <c r="F210" s="102"/>
      <c r="G210" s="114"/>
      <c r="H210" s="115"/>
      <c r="I210" s="116"/>
      <c r="J210" s="20"/>
      <c r="K210" s="20"/>
      <c r="L210" s="20"/>
      <c r="M210" s="8"/>
      <c r="N210" s="8"/>
      <c r="O210" s="8"/>
      <c r="P210" s="8"/>
      <c r="Q210" s="8"/>
      <c r="R210" s="8"/>
      <c r="S210" s="8">
        <v>40000</v>
      </c>
      <c r="T210" s="686">
        <f t="shared" si="24"/>
        <v>0.0012446676880409715</v>
      </c>
      <c r="U210" s="362"/>
      <c r="V210" s="301"/>
      <c r="W210" s="301"/>
      <c r="X210" s="301"/>
      <c r="Y210" s="301"/>
      <c r="Z210" s="301"/>
      <c r="AA210" s="301"/>
      <c r="AB210" s="301"/>
      <c r="AC210" s="301"/>
      <c r="AD210" s="301"/>
      <c r="AE210" s="301"/>
      <c r="AF210" s="301"/>
      <c r="AG210" s="301"/>
      <c r="AH210" s="301"/>
    </row>
    <row r="211" spans="1:20" s="37" customFormat="1" ht="23.25" customHeight="1">
      <c r="A211" s="680" t="s">
        <v>50</v>
      </c>
      <c r="B211" s="439" t="s">
        <v>673</v>
      </c>
      <c r="C211" s="433">
        <v>921</v>
      </c>
      <c r="D211" s="366"/>
      <c r="E211" s="433"/>
      <c r="F211" s="447"/>
      <c r="G211" s="445"/>
      <c r="H211" s="441"/>
      <c r="I211" s="446"/>
      <c r="J211" s="366"/>
      <c r="K211" s="366"/>
      <c r="L211" s="366"/>
      <c r="M211" s="366"/>
      <c r="N211" s="366"/>
      <c r="O211" s="366"/>
      <c r="P211" s="366"/>
      <c r="Q211" s="366"/>
      <c r="R211" s="366"/>
      <c r="S211" s="366">
        <f>S213</f>
        <v>65000</v>
      </c>
      <c r="T211" s="683">
        <f t="shared" si="24"/>
        <v>0.0020225849930665786</v>
      </c>
    </row>
    <row r="212" spans="1:20" s="708" customFormat="1" ht="23.25" customHeight="1">
      <c r="A212" s="699" t="s">
        <v>850</v>
      </c>
      <c r="B212" s="700" t="s">
        <v>537</v>
      </c>
      <c r="C212" s="701"/>
      <c r="D212" s="711">
        <v>92116</v>
      </c>
      <c r="E212" s="701"/>
      <c r="F212" s="702"/>
      <c r="G212" s="703"/>
      <c r="H212" s="704"/>
      <c r="I212" s="705"/>
      <c r="J212" s="307"/>
      <c r="K212" s="307"/>
      <c r="L212" s="307"/>
      <c r="M212" s="307"/>
      <c r="N212" s="307"/>
      <c r="O212" s="307"/>
      <c r="P212" s="307"/>
      <c r="Q212" s="307"/>
      <c r="R212" s="307"/>
      <c r="S212" s="307">
        <f>S213</f>
        <v>65000</v>
      </c>
      <c r="T212" s="707">
        <f t="shared" si="24"/>
        <v>0.0020225849930665786</v>
      </c>
    </row>
    <row r="213" spans="1:20" s="37" customFormat="1" ht="26.25" customHeight="1" thickBot="1">
      <c r="A213" s="730"/>
      <c r="B213" s="731" t="s">
        <v>703</v>
      </c>
      <c r="C213" s="732"/>
      <c r="D213" s="732"/>
      <c r="E213" s="733">
        <v>6630</v>
      </c>
      <c r="F213" s="734"/>
      <c r="G213" s="735"/>
      <c r="H213" s="736"/>
      <c r="I213" s="737"/>
      <c r="J213" s="738"/>
      <c r="K213" s="738"/>
      <c r="L213" s="738"/>
      <c r="M213" s="738"/>
      <c r="N213" s="738"/>
      <c r="O213" s="738"/>
      <c r="P213" s="738"/>
      <c r="Q213" s="738"/>
      <c r="R213" s="738"/>
      <c r="S213" s="738">
        <v>65000</v>
      </c>
      <c r="T213" s="728">
        <f t="shared" si="24"/>
        <v>0.0020225849930665786</v>
      </c>
    </row>
    <row r="214" spans="1:20" ht="18.75" customHeight="1" thickBot="1">
      <c r="A214" s="712"/>
      <c r="B214" s="713" t="s">
        <v>23</v>
      </c>
      <c r="C214" s="714"/>
      <c r="D214" s="714"/>
      <c r="E214" s="714"/>
      <c r="F214" s="715" t="e">
        <f>#REF!+#REF!+#REF!+#REF!+#REF!+#REF!+#REF!+#REF!</f>
        <v>#REF!</v>
      </c>
      <c r="G214" s="716" t="e">
        <f>#REF!+#REF!+#REF!+#REF!+#REF!+#REF!+#REF!+#REF!+#REF!+#REF!+#REF!+#REF!</f>
        <v>#REF!</v>
      </c>
      <c r="H214" s="717" t="e">
        <f>IF(F214&gt;0,G214/F214*100,"")</f>
        <v>#REF!</v>
      </c>
      <c r="I214" s="718" t="e">
        <f>F214/F214</f>
        <v>#REF!</v>
      </c>
      <c r="J214" s="719"/>
      <c r="K214" s="719" t="e">
        <f>#REF!+#REF!+#REF!+#REF!+#REF!+#REF!+#REF!+#REF!+#REF!</f>
        <v>#REF!</v>
      </c>
      <c r="L214" s="719" t="e">
        <f>#REF!+#REF!+#REF!+#REF!+#REF!+#REF!++#REF!+#REF!+#REF!</f>
        <v>#REF!</v>
      </c>
      <c r="M214" s="720" t="e">
        <f>#REF!+#REF!+#REF!+#REF!+#REF!+#REF!+#REF!+#REF!+#REF!+#REF!+#REF!</f>
        <v>#REF!</v>
      </c>
      <c r="N214" s="720" t="e">
        <f>#REF!+#REF!+#REF!+#REF!+#REF!+#REF!+#REF!+#REF!+#REF!+#REF!+#REF!</f>
        <v>#REF!</v>
      </c>
      <c r="O214" s="720" t="e">
        <f>#REF!+#REF!+#REF!+#REF!+#REF!+#REF!+#REF!+#REF!+#REF!+#REF!+#REF!</f>
        <v>#REF!</v>
      </c>
      <c r="P214" s="720" t="e">
        <f>#REF!+#REF!+#REF!+#REF!+#REF!+#REF!+#REF!+#REF!+#REF!+#REF!+#REF!+#REF!</f>
        <v>#REF!</v>
      </c>
      <c r="Q214" s="720" t="e">
        <f>#REF!+#REF!+#REF!+#REF!+#REF!+#REF!+#REF!+#REF!+#REF!+#REF!+#REF!+#REF!</f>
        <v>#REF!</v>
      </c>
      <c r="R214" s="720" t="e">
        <f>#REF!+#REF!+#REF!+#REF!+#REF!+#REF!+#REF!+#REF!+#REF!+#REF!+#REF!+#REF!</f>
        <v>#REF!</v>
      </c>
      <c r="S214" s="720">
        <f>S17+S24+S27+S41+S49+S56+S68+S81+S85+S98+S126+S130+S139+S172+S181+S208+S211</f>
        <v>32137092</v>
      </c>
      <c r="T214" s="721">
        <f t="shared" si="24"/>
        <v>1</v>
      </c>
    </row>
    <row r="215" spans="1:20" ht="18" customHeight="1">
      <c r="A215" s="722"/>
      <c r="B215" s="723" t="s">
        <v>24</v>
      </c>
      <c r="C215" s="723"/>
      <c r="D215" s="723"/>
      <c r="E215" s="723"/>
      <c r="F215" s="65" t="e">
        <f>#REF!+#REF!+#REF!+#REF!+#REF!+#REF!</f>
        <v>#REF!</v>
      </c>
      <c r="G215" s="249" t="e">
        <f>#REF!+#REF!+#REF!+#REF!+#REF!+#REF!</f>
        <v>#REF!</v>
      </c>
      <c r="H215" s="247" t="e">
        <f>IF(F215&gt;0,G215/F215*100,"")</f>
        <v>#REF!</v>
      </c>
      <c r="I215" s="239" t="e">
        <f>F215/F214</f>
        <v>#REF!</v>
      </c>
      <c r="J215" s="40"/>
      <c r="K215" s="40" t="e">
        <f>#REF!+#REF!+#REF!+#REF!+#REF!+#REF!</f>
        <v>#REF!</v>
      </c>
      <c r="L215" s="40" t="e">
        <f>#REF!+#REF!+#REF!+#REF!+#REF!+#REF!</f>
        <v>#REF!</v>
      </c>
      <c r="M215" s="250" t="e">
        <f>#REF!+#REF!+#REF!+#REF!+#REF!+#REF!+#REF!+#REF!+#REF!</f>
        <v>#REF!</v>
      </c>
      <c r="N215" s="250" t="e">
        <f>#REF!+#REF!+#REF!+#REF!+#REF!+#REF!+#REF!+#REF!+#REF!</f>
        <v>#REF!</v>
      </c>
      <c r="O215" s="250" t="e">
        <f>#REF!+#REF!+#REF!+#REF!+#REF!+#REF!+#REF!+#REF!+#REF!</f>
        <v>#REF!</v>
      </c>
      <c r="P215" s="250" t="e">
        <f>#REF!+#REF!+#REF!+#REF!+#REF!+#REF!+#REF!</f>
        <v>#REF!</v>
      </c>
      <c r="Q215" s="250" t="e">
        <f>#REF!+#REF!+#REF!+#REF!+#REF!+#REF!+#REF!</f>
        <v>#REF!</v>
      </c>
      <c r="R215" s="250" t="e">
        <f>#REF!+#REF!+#REF!+#REF!+#REF!+#REF!+#REF!</f>
        <v>#REF!</v>
      </c>
      <c r="S215" s="250">
        <f>S149</f>
        <v>490000</v>
      </c>
      <c r="T215" s="724">
        <f aca="true" t="shared" si="31" ref="T215:T222">S215/$S$214</f>
        <v>0.0152471791785019</v>
      </c>
    </row>
    <row r="216" spans="1:20" ht="18.75" customHeight="1">
      <c r="A216" s="195"/>
      <c r="B216" s="725" t="s">
        <v>111</v>
      </c>
      <c r="C216" s="725"/>
      <c r="D216" s="725"/>
      <c r="E216" s="725"/>
      <c r="F216" s="5" t="e">
        <f>#REF!+#REF!</f>
        <v>#REF!</v>
      </c>
      <c r="G216" s="112" t="e">
        <f>#REF!+#REF!</f>
        <v>#REF!</v>
      </c>
      <c r="H216" s="110" t="e">
        <f>IF(F216&gt;0,G216/F216*100,"")</f>
        <v>#REF!</v>
      </c>
      <c r="I216" s="6" t="e">
        <f>F216/F214</f>
        <v>#REF!</v>
      </c>
      <c r="J216" s="8"/>
      <c r="K216" s="8" t="e">
        <f>#REF!</f>
        <v>#REF!</v>
      </c>
      <c r="L216" s="8" t="e">
        <f>#REF!</f>
        <v>#REF!</v>
      </c>
      <c r="M216" s="122" t="e">
        <f>#REF!</f>
        <v>#REF!</v>
      </c>
      <c r="N216" s="122" t="e">
        <f>#REF!</f>
        <v>#REF!</v>
      </c>
      <c r="O216" s="122" t="e">
        <f>#REF!</f>
        <v>#REF!</v>
      </c>
      <c r="P216" s="122" t="e">
        <f>#REF!</f>
        <v>#REF!</v>
      </c>
      <c r="Q216" s="122" t="e">
        <f>#REF!</f>
        <v>#REF!</v>
      </c>
      <c r="R216" s="122" t="e">
        <f>#REF!</f>
        <v>#REF!</v>
      </c>
      <c r="S216" s="122">
        <f>S149</f>
        <v>490000</v>
      </c>
      <c r="T216" s="686">
        <f t="shared" si="31"/>
        <v>0.0152471791785019</v>
      </c>
    </row>
    <row r="217" spans="1:20" ht="18.75" customHeight="1">
      <c r="A217" s="195"/>
      <c r="B217" s="725" t="s">
        <v>190</v>
      </c>
      <c r="C217" s="725"/>
      <c r="D217" s="725"/>
      <c r="E217" s="725"/>
      <c r="F217" s="5" t="e">
        <f>#REF!</f>
        <v>#REF!</v>
      </c>
      <c r="G217" s="112" t="e">
        <f>#REF!</f>
        <v>#REF!</v>
      </c>
      <c r="H217" s="110" t="e">
        <f>IF(F217&gt;0,G217/F217*100,"")</f>
        <v>#REF!</v>
      </c>
      <c r="I217" s="6" t="e">
        <f>F217/F214</f>
        <v>#REF!</v>
      </c>
      <c r="J217" s="8"/>
      <c r="K217" s="8" t="e">
        <f>#REF!</f>
        <v>#REF!</v>
      </c>
      <c r="L217" s="8" t="e">
        <f>#REF!</f>
        <v>#REF!</v>
      </c>
      <c r="M217" s="122" t="e">
        <f>#REF!</f>
        <v>#REF!</v>
      </c>
      <c r="N217" s="122" t="e">
        <f>#REF!</f>
        <v>#REF!</v>
      </c>
      <c r="O217" s="122" t="e">
        <f>#REF!</f>
        <v>#REF!</v>
      </c>
      <c r="P217" s="122" t="e">
        <f>#REF!</f>
        <v>#REF!</v>
      </c>
      <c r="Q217" s="122" t="e">
        <f>#REF!</f>
        <v>#REF!</v>
      </c>
      <c r="R217" s="122" t="e">
        <f>#REF!</f>
        <v>#REF!</v>
      </c>
      <c r="S217" s="122">
        <f>S21+S48+S51+S53+S55+S58+S67+S70+S80+S138</f>
        <v>3305295</v>
      </c>
      <c r="T217" s="686">
        <f t="shared" si="31"/>
        <v>0.10284984714858457</v>
      </c>
    </row>
    <row r="218" spans="1:20" ht="16.5" customHeight="1" hidden="1">
      <c r="A218" s="195"/>
      <c r="B218" s="28" t="s">
        <v>26</v>
      </c>
      <c r="C218" s="8"/>
      <c r="D218" s="8"/>
      <c r="E218" s="8"/>
      <c r="F218" s="5"/>
      <c r="G218" s="112" t="e">
        <f>#REF!+#REF!</f>
        <v>#REF!</v>
      </c>
      <c r="H218" s="110"/>
      <c r="I218" s="6"/>
      <c r="J218" s="8"/>
      <c r="K218" s="8" t="e">
        <f>#REF!+#REF!</f>
        <v>#REF!</v>
      </c>
      <c r="L218" s="8" t="e">
        <f>#REF!+#REF!</f>
        <v>#REF!</v>
      </c>
      <c r="M218" s="122" t="e">
        <f>#REF!+#REF!</f>
        <v>#REF!</v>
      </c>
      <c r="N218" s="122" t="e">
        <f>#REF!+#REF!</f>
        <v>#REF!</v>
      </c>
      <c r="O218" s="122" t="e">
        <f>#REF!+#REF!</f>
        <v>#REF!</v>
      </c>
      <c r="P218" s="122" t="e">
        <f>#REF!+#REF!</f>
        <v>#REF!</v>
      </c>
      <c r="Q218" s="122" t="e">
        <f>#REF!+#REF!</f>
        <v>#REF!</v>
      </c>
      <c r="R218" s="122" t="e">
        <f>#REF!+#REF!</f>
        <v>#REF!</v>
      </c>
      <c r="S218" s="8"/>
      <c r="T218" s="686">
        <f t="shared" si="31"/>
        <v>0</v>
      </c>
    </row>
    <row r="219" spans="1:20" ht="17.25" customHeight="1">
      <c r="A219" s="195"/>
      <c r="B219" s="726" t="s">
        <v>123</v>
      </c>
      <c r="C219" s="726"/>
      <c r="D219" s="726"/>
      <c r="E219" s="726"/>
      <c r="F219" s="5" t="e">
        <f>#REF!+#REF!+#REF!</f>
        <v>#REF!</v>
      </c>
      <c r="G219" s="112" t="e">
        <f>#REF!+#REF!</f>
        <v>#REF!</v>
      </c>
      <c r="H219" s="110" t="e">
        <f>IF(F219&gt;0,G219/F219*100,"")</f>
        <v>#REF!</v>
      </c>
      <c r="I219" s="6" t="e">
        <f>F219/F214</f>
        <v>#REF!</v>
      </c>
      <c r="J219" s="8"/>
      <c r="K219" s="8" t="e">
        <f>#REF!+#REF!</f>
        <v>#REF!</v>
      </c>
      <c r="L219" s="8" t="e">
        <f>#REF!+#REF!</f>
        <v>#REF!</v>
      </c>
      <c r="M219" s="122" t="e">
        <f>#REF!+#REF!+#REF!+#REF!</f>
        <v>#REF!</v>
      </c>
      <c r="N219" s="122" t="e">
        <f>#REF!+#REF!+#REF!+#REF!</f>
        <v>#REF!</v>
      </c>
      <c r="O219" s="122" t="e">
        <f>#REF!+#REF!+#REF!+#REF!</f>
        <v>#REF!</v>
      </c>
      <c r="P219" s="122" t="e">
        <f>#REF!+#REF!+#REF!</f>
        <v>#REF!</v>
      </c>
      <c r="Q219" s="122" t="e">
        <f>#REF!+#REF!+#REF!</f>
        <v>#REF!</v>
      </c>
      <c r="R219" s="122" t="e">
        <f>#REF!+#REF!+#REF!</f>
        <v>#REF!</v>
      </c>
      <c r="S219" s="122">
        <f>S71+S39+S40+S144+S169+S206+S207+S128+S129+S136+S213</f>
        <v>1295062</v>
      </c>
      <c r="T219" s="686">
        <f t="shared" si="31"/>
        <v>0.04029804563524292</v>
      </c>
    </row>
    <row r="220" spans="1:20" ht="21" customHeight="1">
      <c r="A220" s="195"/>
      <c r="B220" s="726" t="s">
        <v>623</v>
      </c>
      <c r="C220" s="726"/>
      <c r="D220" s="726"/>
      <c r="E220" s="726"/>
      <c r="F220" s="5"/>
      <c r="G220" s="112"/>
      <c r="H220" s="110"/>
      <c r="I220" s="6"/>
      <c r="J220" s="8"/>
      <c r="K220" s="8"/>
      <c r="L220" s="8"/>
      <c r="M220" s="122"/>
      <c r="N220" s="122"/>
      <c r="O220" s="122"/>
      <c r="P220" s="122"/>
      <c r="Q220" s="122"/>
      <c r="R220" s="122"/>
      <c r="S220" s="122">
        <f>S180+S210</f>
        <v>180800</v>
      </c>
      <c r="T220" s="686">
        <f t="shared" si="31"/>
        <v>0.0056258979499451914</v>
      </c>
    </row>
    <row r="221" spans="1:20" ht="18.75" customHeight="1">
      <c r="A221" s="195"/>
      <c r="B221" s="523" t="s">
        <v>124</v>
      </c>
      <c r="C221" s="523"/>
      <c r="D221" s="523"/>
      <c r="E221" s="523"/>
      <c r="F221" s="8"/>
      <c r="G221" s="8"/>
      <c r="H221" s="8"/>
      <c r="I221" s="8"/>
      <c r="J221" s="8"/>
      <c r="K221" s="8"/>
      <c r="L221" s="8"/>
      <c r="M221" s="122" t="e">
        <f>#REF!</f>
        <v>#REF!</v>
      </c>
      <c r="N221" s="122" t="e">
        <f>#REF!</f>
        <v>#REF!</v>
      </c>
      <c r="O221" s="122" t="e">
        <f>#REF!</f>
        <v>#REF!</v>
      </c>
      <c r="P221" s="122" t="e">
        <f>#REF!+#REF!</f>
        <v>#REF!</v>
      </c>
      <c r="Q221" s="122" t="e">
        <f>#REF!+#REF!</f>
        <v>#REF!</v>
      </c>
      <c r="R221" s="122" t="e">
        <f>#REF!+#REF!</f>
        <v>#REF!</v>
      </c>
      <c r="S221" s="122">
        <f>S26+S37+S38+S134+S135+S203</f>
        <v>5005681</v>
      </c>
      <c r="T221" s="686">
        <f t="shared" si="31"/>
        <v>0.15576023493351546</v>
      </c>
    </row>
    <row r="222" spans="1:21" ht="14.25" customHeight="1" thickBot="1">
      <c r="A222" s="196"/>
      <c r="B222" s="727" t="s">
        <v>51</v>
      </c>
      <c r="C222" s="727"/>
      <c r="D222" s="727"/>
      <c r="E222" s="727"/>
      <c r="F222" s="88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88"/>
      <c r="S222" s="88">
        <f>S23+S31+S43+S44+S45+S46+S47+S60+S61+S62+S64+S65+S83+S84+S92+S100+S101+S104+S105+S107+S108+S109+S110+S111+S112+S132+S133+S141+S142+S143+S146+S147+S148+S151+S171+S174+S176+S178+S179+S183+S184+S185+S186+S189+S190+S192+S193+S201+S202</f>
        <v>5590873</v>
      </c>
      <c r="T222" s="728">
        <f t="shared" si="31"/>
        <v>0.17396947427601725</v>
      </c>
      <c r="U222" s="453"/>
    </row>
    <row r="223" spans="20:21" ht="14.25" customHeight="1">
      <c r="T223" s="453"/>
      <c r="U223" s="453"/>
    </row>
    <row r="224" spans="2:21" ht="14.25" customHeight="1">
      <c r="B224" t="s">
        <v>129</v>
      </c>
      <c r="T224" s="453"/>
      <c r="U224" s="453"/>
    </row>
    <row r="225" spans="20:21" ht="14.25" customHeight="1">
      <c r="T225" s="453"/>
      <c r="U225" s="453"/>
    </row>
    <row r="226" spans="16:21" ht="12.75">
      <c r="P226" t="s">
        <v>202</v>
      </c>
      <c r="T226" s="453"/>
      <c r="U226" s="453"/>
    </row>
    <row r="227" spans="20:21" ht="12.75">
      <c r="T227" s="453"/>
      <c r="U227" s="453"/>
    </row>
    <row r="228" spans="20:21" ht="12.75">
      <c r="T228" s="453"/>
      <c r="U228" s="453"/>
    </row>
    <row r="229" spans="20:21" ht="12.75">
      <c r="T229" s="453"/>
      <c r="U229" s="453"/>
    </row>
    <row r="230" spans="20:21" ht="12.75">
      <c r="T230" s="453"/>
      <c r="U230" s="453"/>
    </row>
    <row r="231" spans="20:21" ht="12.75">
      <c r="T231" s="453"/>
      <c r="U231" s="453"/>
    </row>
    <row r="232" spans="20:21" ht="12.75">
      <c r="T232" s="453"/>
      <c r="U232" s="453"/>
    </row>
  </sheetData>
  <mergeCells count="26">
    <mergeCell ref="B220:E220"/>
    <mergeCell ref="B221:E221"/>
    <mergeCell ref="B222:E222"/>
    <mergeCell ref="B215:E215"/>
    <mergeCell ref="B216:E216"/>
    <mergeCell ref="B217:E217"/>
    <mergeCell ref="B219:E219"/>
    <mergeCell ref="T12:T15"/>
    <mergeCell ref="F13:F15"/>
    <mergeCell ref="G13:G15"/>
    <mergeCell ref="H13:H15"/>
    <mergeCell ref="K13:K15"/>
    <mergeCell ref="L13:L15"/>
    <mergeCell ref="N13:N15"/>
    <mergeCell ref="O13:O15"/>
    <mergeCell ref="I14:I15"/>
    <mergeCell ref="C2:T3"/>
    <mergeCell ref="A12:A15"/>
    <mergeCell ref="B12:B14"/>
    <mergeCell ref="C12:E14"/>
    <mergeCell ref="M12:M15"/>
    <mergeCell ref="N12:O12"/>
    <mergeCell ref="P12:P15"/>
    <mergeCell ref="Q12:Q15"/>
    <mergeCell ref="R12:R15"/>
    <mergeCell ref="S12:S15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3"/>
  <sheetViews>
    <sheetView workbookViewId="0" topLeftCell="A22">
      <selection activeCell="G31" sqref="G31:M31"/>
    </sheetView>
  </sheetViews>
  <sheetFormatPr defaultColWidth="9.00390625" defaultRowHeight="12.75"/>
  <cols>
    <col min="1" max="1" width="3.25390625" style="0" customWidth="1"/>
    <col min="2" max="2" width="29.625" style="0" customWidth="1"/>
    <col min="3" max="3" width="9.00390625" style="0" customWidth="1"/>
  </cols>
  <sheetData>
    <row r="1" spans="5:13" ht="12.75" customHeight="1">
      <c r="E1" s="615" t="s">
        <v>207</v>
      </c>
      <c r="F1" s="615"/>
      <c r="G1" s="615"/>
      <c r="H1" s="615"/>
      <c r="I1" s="615"/>
      <c r="J1" s="615"/>
      <c r="K1" s="615"/>
      <c r="L1" s="615"/>
      <c r="M1" s="615"/>
    </row>
    <row r="2" ht="11.25" customHeight="1"/>
    <row r="3" ht="0.75" customHeight="1"/>
    <row r="4" spans="1:13" ht="15.75" customHeight="1" thickBot="1">
      <c r="A4" s="623" t="s">
        <v>804</v>
      </c>
      <c r="B4" s="623"/>
      <c r="C4" s="623"/>
      <c r="D4" s="623"/>
      <c r="E4" s="623"/>
      <c r="F4" s="623"/>
      <c r="G4" s="623"/>
      <c r="H4" s="623"/>
      <c r="I4" s="623"/>
      <c r="J4" s="623"/>
      <c r="K4" s="623"/>
      <c r="L4" s="623"/>
      <c r="M4" s="623"/>
    </row>
    <row r="5" spans="1:13" ht="13.5" thickBot="1">
      <c r="A5" s="617" t="s">
        <v>675</v>
      </c>
      <c r="B5" s="617" t="s">
        <v>722</v>
      </c>
      <c r="C5" s="619" t="s">
        <v>805</v>
      </c>
      <c r="D5" s="621" t="s">
        <v>208</v>
      </c>
      <c r="E5" s="621"/>
      <c r="F5" s="621"/>
      <c r="G5" s="621"/>
      <c r="H5" s="621"/>
      <c r="I5" s="621"/>
      <c r="J5" s="621"/>
      <c r="K5" s="621"/>
      <c r="L5" s="621"/>
      <c r="M5" s="622"/>
    </row>
    <row r="6" spans="1:13" ht="46.5" customHeight="1" thickBot="1">
      <c r="A6" s="618"/>
      <c r="B6" s="618"/>
      <c r="C6" s="620"/>
      <c r="D6" s="377">
        <v>2006</v>
      </c>
      <c r="E6" s="377">
        <v>2007</v>
      </c>
      <c r="F6" s="377">
        <v>2008</v>
      </c>
      <c r="G6" s="377">
        <v>2009</v>
      </c>
      <c r="H6" s="377">
        <v>2010</v>
      </c>
      <c r="I6" s="377">
        <v>2011</v>
      </c>
      <c r="J6" s="377">
        <v>2012</v>
      </c>
      <c r="K6" s="378">
        <v>2013</v>
      </c>
      <c r="L6" s="378">
        <v>2014</v>
      </c>
      <c r="M6" s="377">
        <v>2015</v>
      </c>
    </row>
    <row r="7" spans="1:13" ht="13.5" thickBot="1">
      <c r="A7" s="162">
        <v>1</v>
      </c>
      <c r="B7" s="162">
        <v>2</v>
      </c>
      <c r="C7" s="92">
        <v>3</v>
      </c>
      <c r="D7" s="90">
        <v>5</v>
      </c>
      <c r="E7" s="172">
        <v>6</v>
      </c>
      <c r="F7" s="90">
        <v>7</v>
      </c>
      <c r="G7" s="90">
        <v>8</v>
      </c>
      <c r="H7" s="90">
        <v>9</v>
      </c>
      <c r="I7" s="90">
        <v>10</v>
      </c>
      <c r="J7" s="90">
        <v>11</v>
      </c>
      <c r="K7" s="91">
        <v>12</v>
      </c>
      <c r="L7" s="91">
        <v>13</v>
      </c>
      <c r="M7" s="92">
        <v>14</v>
      </c>
    </row>
    <row r="8" spans="1:13" ht="22.5">
      <c r="A8" s="379" t="s">
        <v>687</v>
      </c>
      <c r="B8" s="380" t="s">
        <v>806</v>
      </c>
      <c r="C8" s="381">
        <v>8483700</v>
      </c>
      <c r="D8" s="382">
        <v>7377132</v>
      </c>
      <c r="E8" s="381">
        <v>6220564</v>
      </c>
      <c r="F8" s="381">
        <v>5046271</v>
      </c>
      <c r="G8" s="381">
        <v>3799703</v>
      </c>
      <c r="H8" s="381">
        <v>2743135</v>
      </c>
      <c r="I8" s="381">
        <v>1686567</v>
      </c>
      <c r="J8" s="382">
        <v>630000</v>
      </c>
      <c r="K8" s="381">
        <v>0</v>
      </c>
      <c r="L8" s="381">
        <v>0</v>
      </c>
      <c r="M8" s="381">
        <v>0</v>
      </c>
    </row>
    <row r="9" spans="1:13" ht="12.75">
      <c r="A9" s="383" t="s">
        <v>688</v>
      </c>
      <c r="B9" s="225" t="s">
        <v>807</v>
      </c>
      <c r="C9" s="384">
        <v>137600</v>
      </c>
      <c r="D9" s="385">
        <v>72000</v>
      </c>
      <c r="E9" s="384">
        <v>36000</v>
      </c>
      <c r="F9" s="384">
        <v>0</v>
      </c>
      <c r="G9" s="384">
        <v>0</v>
      </c>
      <c r="H9" s="384">
        <v>0</v>
      </c>
      <c r="I9" s="384">
        <v>0</v>
      </c>
      <c r="J9" s="385">
        <v>0</v>
      </c>
      <c r="K9" s="384">
        <v>0</v>
      </c>
      <c r="L9" s="384">
        <v>0</v>
      </c>
      <c r="M9" s="384">
        <v>0</v>
      </c>
    </row>
    <row r="10" spans="1:13" ht="12.75">
      <c r="A10" s="386" t="s">
        <v>690</v>
      </c>
      <c r="B10" s="225" t="s">
        <v>808</v>
      </c>
      <c r="C10" s="387">
        <v>431080</v>
      </c>
      <c r="D10" s="388">
        <v>3075850</v>
      </c>
      <c r="E10" s="387">
        <v>2460650</v>
      </c>
      <c r="F10" s="387">
        <v>1845450</v>
      </c>
      <c r="G10" s="387">
        <v>1230250</v>
      </c>
      <c r="H10" s="387">
        <v>615050</v>
      </c>
      <c r="I10" s="387">
        <v>0</v>
      </c>
      <c r="J10" s="388">
        <v>0</v>
      </c>
      <c r="K10" s="387">
        <v>0</v>
      </c>
      <c r="L10" s="387">
        <v>0</v>
      </c>
      <c r="M10" s="387">
        <v>0</v>
      </c>
    </row>
    <row r="11" spans="1:13" ht="22.5">
      <c r="A11" s="383" t="s">
        <v>692</v>
      </c>
      <c r="B11" s="389" t="s">
        <v>809</v>
      </c>
      <c r="C11" s="384">
        <v>1887532</v>
      </c>
      <c r="D11" s="385"/>
      <c r="E11" s="384">
        <v>0</v>
      </c>
      <c r="F11" s="384"/>
      <c r="G11" s="384"/>
      <c r="H11" s="384"/>
      <c r="I11" s="384"/>
      <c r="J11" s="385"/>
      <c r="K11" s="384"/>
      <c r="L11" s="384"/>
      <c r="M11" s="384">
        <v>0</v>
      </c>
    </row>
    <row r="12" spans="1:13" ht="22.5">
      <c r="A12" s="383">
        <v>5</v>
      </c>
      <c r="B12" s="389" t="s">
        <v>810</v>
      </c>
      <c r="C12" s="384">
        <v>356000</v>
      </c>
      <c r="D12" s="385">
        <v>739000</v>
      </c>
      <c r="E12" s="384">
        <v>1073439</v>
      </c>
      <c r="F12" s="384">
        <v>1058439</v>
      </c>
      <c r="G12" s="384">
        <v>882035</v>
      </c>
      <c r="H12" s="384">
        <v>705631</v>
      </c>
      <c r="I12" s="384">
        <v>529227</v>
      </c>
      <c r="J12" s="385">
        <v>352823</v>
      </c>
      <c r="K12" s="384">
        <v>176419</v>
      </c>
      <c r="L12" s="384">
        <v>0</v>
      </c>
      <c r="M12" s="384">
        <v>0</v>
      </c>
    </row>
    <row r="13" spans="1:13" ht="22.5">
      <c r="A13" s="390">
        <v>6</v>
      </c>
      <c r="B13" s="389" t="s">
        <v>589</v>
      </c>
      <c r="C13" s="222">
        <v>0</v>
      </c>
      <c r="D13" s="391">
        <v>180892</v>
      </c>
      <c r="E13" s="222">
        <v>196326</v>
      </c>
      <c r="F13" s="222">
        <v>279877</v>
      </c>
      <c r="G13" s="222">
        <v>191985</v>
      </c>
      <c r="H13" s="222">
        <v>214251</v>
      </c>
      <c r="I13" s="222">
        <v>280968</v>
      </c>
      <c r="J13" s="391">
        <v>1099598</v>
      </c>
      <c r="K13" s="222">
        <v>105398</v>
      </c>
      <c r="L13" s="222">
        <v>102446</v>
      </c>
      <c r="M13" s="222">
        <v>36982</v>
      </c>
    </row>
    <row r="14" spans="1:13" ht="22.5">
      <c r="A14" s="392">
        <v>7</v>
      </c>
      <c r="B14" s="389" t="s">
        <v>811</v>
      </c>
      <c r="C14" s="222">
        <f>C15+C16+C17+C18</f>
        <v>0</v>
      </c>
      <c r="D14" s="391">
        <v>0</v>
      </c>
      <c r="E14" s="222">
        <v>0</v>
      </c>
      <c r="F14" s="222">
        <v>0</v>
      </c>
      <c r="G14" s="222">
        <v>0</v>
      </c>
      <c r="H14" s="222">
        <v>0</v>
      </c>
      <c r="I14" s="222">
        <v>0</v>
      </c>
      <c r="J14" s="391">
        <v>0</v>
      </c>
      <c r="K14" s="222">
        <v>0</v>
      </c>
      <c r="L14" s="222">
        <v>0</v>
      </c>
      <c r="M14" s="222">
        <v>0</v>
      </c>
    </row>
    <row r="15" spans="1:13" ht="12.75">
      <c r="A15" s="390"/>
      <c r="B15" s="225" t="s">
        <v>723</v>
      </c>
      <c r="C15" s="222">
        <v>0</v>
      </c>
      <c r="D15" s="391">
        <v>0</v>
      </c>
      <c r="E15" s="222">
        <v>0</v>
      </c>
      <c r="F15" s="222">
        <v>0</v>
      </c>
      <c r="G15" s="222">
        <v>0</v>
      </c>
      <c r="H15" s="222">
        <v>0</v>
      </c>
      <c r="I15" s="222">
        <v>0</v>
      </c>
      <c r="J15" s="391">
        <v>0</v>
      </c>
      <c r="K15" s="222">
        <v>0</v>
      </c>
      <c r="L15" s="222">
        <v>0</v>
      </c>
      <c r="M15" s="222">
        <v>0</v>
      </c>
    </row>
    <row r="16" spans="1:13" ht="12.75">
      <c r="A16" s="390"/>
      <c r="B16" s="225" t="s">
        <v>724</v>
      </c>
      <c r="C16" s="222">
        <v>0</v>
      </c>
      <c r="D16" s="391">
        <v>0</v>
      </c>
      <c r="E16" s="222">
        <v>0</v>
      </c>
      <c r="F16" s="222">
        <v>0</v>
      </c>
      <c r="G16" s="222">
        <v>0</v>
      </c>
      <c r="H16" s="222">
        <v>0</v>
      </c>
      <c r="I16" s="222">
        <v>0</v>
      </c>
      <c r="J16" s="391">
        <v>0</v>
      </c>
      <c r="K16" s="222">
        <v>0</v>
      </c>
      <c r="L16" s="222">
        <v>0</v>
      </c>
      <c r="M16" s="222">
        <v>0</v>
      </c>
    </row>
    <row r="17" spans="1:13" ht="12.75">
      <c r="A17" s="390"/>
      <c r="B17" s="225" t="s">
        <v>725</v>
      </c>
      <c r="C17" s="222">
        <v>0</v>
      </c>
      <c r="D17" s="391">
        <v>0</v>
      </c>
      <c r="E17" s="222">
        <v>0</v>
      </c>
      <c r="F17" s="222">
        <v>0</v>
      </c>
      <c r="G17" s="222">
        <v>0</v>
      </c>
      <c r="H17" s="222">
        <v>0</v>
      </c>
      <c r="I17" s="222">
        <v>0</v>
      </c>
      <c r="J17" s="391">
        <v>0</v>
      </c>
      <c r="K17" s="222">
        <v>0</v>
      </c>
      <c r="L17" s="222">
        <v>0</v>
      </c>
      <c r="M17" s="222">
        <v>0</v>
      </c>
    </row>
    <row r="18" spans="1:13" ht="12.75">
      <c r="A18" s="390"/>
      <c r="B18" s="225" t="s">
        <v>726</v>
      </c>
      <c r="C18" s="222">
        <v>0</v>
      </c>
      <c r="D18" s="391">
        <v>0</v>
      </c>
      <c r="E18" s="222">
        <v>0</v>
      </c>
      <c r="F18" s="222">
        <v>0</v>
      </c>
      <c r="G18" s="222">
        <v>0</v>
      </c>
      <c r="H18" s="222">
        <v>0</v>
      </c>
      <c r="I18" s="222">
        <v>0</v>
      </c>
      <c r="J18" s="391">
        <v>0</v>
      </c>
      <c r="K18" s="222">
        <v>0</v>
      </c>
      <c r="L18" s="222">
        <v>0</v>
      </c>
      <c r="M18" s="222">
        <v>0</v>
      </c>
    </row>
    <row r="19" spans="1:13" ht="12.75">
      <c r="A19" s="383">
        <v>8</v>
      </c>
      <c r="B19" s="225" t="s">
        <v>728</v>
      </c>
      <c r="C19" s="384">
        <v>11295930</v>
      </c>
      <c r="D19" s="385">
        <f aca="true" t="shared" si="0" ref="D19:M19">D8+D9+D10+D11+D12+D13+D14</f>
        <v>11444874</v>
      </c>
      <c r="E19" s="384">
        <f t="shared" si="0"/>
        <v>9986979</v>
      </c>
      <c r="F19" s="384">
        <f t="shared" si="0"/>
        <v>8230037</v>
      </c>
      <c r="G19" s="384">
        <f t="shared" si="0"/>
        <v>6103973</v>
      </c>
      <c r="H19" s="384">
        <f t="shared" si="0"/>
        <v>4278067</v>
      </c>
      <c r="I19" s="384">
        <f t="shared" si="0"/>
        <v>2496762</v>
      </c>
      <c r="J19" s="384">
        <f t="shared" si="0"/>
        <v>2082421</v>
      </c>
      <c r="K19" s="384">
        <f t="shared" si="0"/>
        <v>281817</v>
      </c>
      <c r="L19" s="384">
        <f t="shared" si="0"/>
        <v>102446</v>
      </c>
      <c r="M19" s="384">
        <f t="shared" si="0"/>
        <v>36982</v>
      </c>
    </row>
    <row r="20" spans="1:13" ht="13.5" thickBot="1">
      <c r="A20" s="386">
        <v>9</v>
      </c>
      <c r="B20" s="223" t="s">
        <v>730</v>
      </c>
      <c r="C20" s="393">
        <v>30327932</v>
      </c>
      <c r="D20" s="394">
        <v>32137092</v>
      </c>
      <c r="E20" s="395">
        <v>31631000</v>
      </c>
      <c r="F20" s="395">
        <v>30145000</v>
      </c>
      <c r="G20" s="395">
        <v>29600000</v>
      </c>
      <c r="H20" s="395">
        <v>29200000</v>
      </c>
      <c r="I20" s="395">
        <v>29400000</v>
      </c>
      <c r="J20" s="396">
        <v>29500000</v>
      </c>
      <c r="K20" s="395">
        <v>29600000</v>
      </c>
      <c r="L20" s="395">
        <v>29700000</v>
      </c>
      <c r="M20" s="395">
        <v>30000000</v>
      </c>
    </row>
    <row r="21" spans="1:13" ht="23.25" thickBot="1">
      <c r="A21" s="397">
        <v>10</v>
      </c>
      <c r="B21" s="398" t="s">
        <v>761</v>
      </c>
      <c r="C21" s="399">
        <f>C19/C20</f>
        <v>0.3724596190732688</v>
      </c>
      <c r="D21" s="400">
        <f>D19/D20</f>
        <v>0.3561266215375056</v>
      </c>
      <c r="E21" s="399">
        <f>E19/E20</f>
        <v>0.31573390028769244</v>
      </c>
      <c r="F21" s="399">
        <f>F19/F20</f>
        <v>0.27301499419472547</v>
      </c>
      <c r="G21" s="399">
        <v>0.1808</v>
      </c>
      <c r="H21" s="399">
        <f aca="true" t="shared" si="1" ref="H21:M21">H19/H20</f>
        <v>0.14650914383561645</v>
      </c>
      <c r="I21" s="399">
        <f t="shared" si="1"/>
        <v>0.0849238775510204</v>
      </c>
      <c r="J21" s="401">
        <f t="shared" si="1"/>
        <v>0.07059054237288136</v>
      </c>
      <c r="K21" s="401">
        <f t="shared" si="1"/>
        <v>0.009520844594594595</v>
      </c>
      <c r="L21" s="401">
        <f t="shared" si="1"/>
        <v>0.003449360269360269</v>
      </c>
      <c r="M21" s="401">
        <f t="shared" si="1"/>
        <v>0.0012327333333333333</v>
      </c>
    </row>
    <row r="22" spans="1:13" ht="24.75" thickBot="1">
      <c r="A22" s="402">
        <v>9</v>
      </c>
      <c r="B22" s="403" t="s">
        <v>170</v>
      </c>
      <c r="C22" s="404"/>
      <c r="D22" s="405"/>
      <c r="E22" s="406"/>
      <c r="F22" s="406"/>
      <c r="G22" s="406"/>
      <c r="H22" s="406"/>
      <c r="I22" s="406"/>
      <c r="J22" s="407"/>
      <c r="K22" s="407"/>
      <c r="L22" s="407"/>
      <c r="M22" s="407"/>
    </row>
    <row r="23" spans="1:13" ht="3" customHeight="1">
      <c r="A23" s="408"/>
      <c r="B23" s="409"/>
      <c r="C23" s="410"/>
      <c r="D23" s="410"/>
      <c r="E23" s="410"/>
      <c r="F23" s="410"/>
      <c r="G23" s="410"/>
      <c r="H23" s="409"/>
      <c r="I23" s="411"/>
      <c r="J23" s="411"/>
      <c r="K23" s="411"/>
      <c r="L23" s="411"/>
      <c r="M23" s="409"/>
    </row>
    <row r="24" spans="1:13" ht="22.5">
      <c r="A24" s="411"/>
      <c r="B24" s="412" t="s">
        <v>812</v>
      </c>
      <c r="C24" s="413">
        <v>1086568</v>
      </c>
      <c r="D24" s="413">
        <v>1106568</v>
      </c>
      <c r="E24" s="414">
        <v>1156568</v>
      </c>
      <c r="F24" s="414">
        <v>1174293</v>
      </c>
      <c r="G24" s="414">
        <v>1246568</v>
      </c>
      <c r="H24" s="413">
        <v>1056568</v>
      </c>
      <c r="I24" s="413">
        <v>1056568</v>
      </c>
      <c r="J24" s="413">
        <v>1056567</v>
      </c>
      <c r="K24" s="415">
        <v>630000</v>
      </c>
      <c r="L24" s="415">
        <v>0</v>
      </c>
      <c r="M24" s="413">
        <v>0</v>
      </c>
    </row>
    <row r="25" spans="1:13" ht="22.5" customHeight="1">
      <c r="A25" s="411"/>
      <c r="B25" s="418" t="s">
        <v>209</v>
      </c>
      <c r="C25" s="416">
        <v>56400</v>
      </c>
      <c r="D25" s="416">
        <v>36000</v>
      </c>
      <c r="E25" s="416">
        <v>36000</v>
      </c>
      <c r="F25" s="416">
        <v>36000</v>
      </c>
      <c r="G25" s="417">
        <v>0</v>
      </c>
      <c r="H25" s="417">
        <v>0</v>
      </c>
      <c r="I25" s="416">
        <v>0</v>
      </c>
      <c r="J25" s="413">
        <v>0</v>
      </c>
      <c r="K25" s="415">
        <v>0</v>
      </c>
      <c r="L25" s="415">
        <v>0</v>
      </c>
      <c r="M25" s="413">
        <v>0</v>
      </c>
    </row>
    <row r="26" spans="1:13" ht="22.5">
      <c r="A26" s="411"/>
      <c r="B26" s="418" t="s">
        <v>813</v>
      </c>
      <c r="C26" s="416">
        <v>0</v>
      </c>
      <c r="D26" s="416">
        <v>431080</v>
      </c>
      <c r="E26" s="416">
        <v>615200</v>
      </c>
      <c r="F26" s="416">
        <v>615200</v>
      </c>
      <c r="G26" s="416">
        <v>615200</v>
      </c>
      <c r="H26" s="416">
        <v>615200</v>
      </c>
      <c r="I26" s="416">
        <v>615050</v>
      </c>
      <c r="J26" s="416">
        <v>0</v>
      </c>
      <c r="K26" s="415">
        <v>0</v>
      </c>
      <c r="L26" s="415">
        <v>0</v>
      </c>
      <c r="M26" s="413">
        <v>0</v>
      </c>
    </row>
    <row r="27" spans="1:13" ht="22.5">
      <c r="A27" s="411"/>
      <c r="B27" s="418" t="s">
        <v>818</v>
      </c>
      <c r="C27" s="417">
        <v>0</v>
      </c>
      <c r="D27" s="416">
        <v>1887532</v>
      </c>
      <c r="E27" s="416">
        <v>0</v>
      </c>
      <c r="F27" s="416">
        <v>0</v>
      </c>
      <c r="G27" s="416">
        <v>0</v>
      </c>
      <c r="H27" s="416">
        <v>0</v>
      </c>
      <c r="I27" s="416">
        <v>0</v>
      </c>
      <c r="J27" s="416">
        <v>0</v>
      </c>
      <c r="K27" s="415">
        <v>0</v>
      </c>
      <c r="L27" s="415">
        <v>0</v>
      </c>
      <c r="M27" s="413">
        <v>0</v>
      </c>
    </row>
    <row r="28" spans="1:13" ht="22.5">
      <c r="A28" s="411"/>
      <c r="B28" s="418" t="s">
        <v>814</v>
      </c>
      <c r="C28" s="417">
        <v>0</v>
      </c>
      <c r="D28" s="416">
        <v>0</v>
      </c>
      <c r="E28" s="416">
        <v>0</v>
      </c>
      <c r="F28" s="416">
        <v>15000</v>
      </c>
      <c r="G28" s="416">
        <v>176404</v>
      </c>
      <c r="H28" s="416">
        <v>176404</v>
      </c>
      <c r="I28" s="416">
        <v>176404</v>
      </c>
      <c r="J28" s="416">
        <v>176404</v>
      </c>
      <c r="K28" s="415">
        <v>176404</v>
      </c>
      <c r="L28" s="415">
        <v>176419</v>
      </c>
      <c r="M28" s="413">
        <v>0</v>
      </c>
    </row>
    <row r="29" spans="1:13" ht="18.75" customHeight="1">
      <c r="A29" s="624" t="s">
        <v>815</v>
      </c>
      <c r="B29" s="625"/>
      <c r="C29" s="419">
        <f aca="true" t="shared" si="2" ref="C29:M29">C24+C25+C26+C27+C28</f>
        <v>1142968</v>
      </c>
      <c r="D29" s="419">
        <f t="shared" si="2"/>
        <v>3461180</v>
      </c>
      <c r="E29" s="419">
        <f t="shared" si="2"/>
        <v>1807768</v>
      </c>
      <c r="F29" s="419">
        <f t="shared" si="2"/>
        <v>1840493</v>
      </c>
      <c r="G29" s="419">
        <f t="shared" si="2"/>
        <v>2038172</v>
      </c>
      <c r="H29" s="419">
        <f t="shared" si="2"/>
        <v>1848172</v>
      </c>
      <c r="I29" s="419">
        <f t="shared" si="2"/>
        <v>1848022</v>
      </c>
      <c r="J29" s="419">
        <f t="shared" si="2"/>
        <v>1232971</v>
      </c>
      <c r="K29" s="419">
        <f t="shared" si="2"/>
        <v>806404</v>
      </c>
      <c r="L29" s="419">
        <f t="shared" si="2"/>
        <v>176419</v>
      </c>
      <c r="M29" s="419">
        <f t="shared" si="2"/>
        <v>0</v>
      </c>
    </row>
    <row r="30" spans="1:13" ht="18.75" customHeight="1">
      <c r="A30" s="411"/>
      <c r="B30" s="420"/>
      <c r="C30" s="354"/>
      <c r="D30" s="421"/>
      <c r="E30" s="421"/>
      <c r="F30" s="421"/>
      <c r="G30" s="421"/>
      <c r="H30" s="422"/>
      <c r="I30" s="422"/>
      <c r="J30" s="411"/>
      <c r="K30" s="411"/>
      <c r="L30" s="411"/>
      <c r="M30" s="411"/>
    </row>
    <row r="31" spans="1:13" ht="16.5" customHeight="1">
      <c r="A31" s="411"/>
      <c r="B31" s="411"/>
      <c r="C31" s="411"/>
      <c r="D31" s="411"/>
      <c r="E31" s="411"/>
      <c r="F31" s="411"/>
      <c r="G31" s="616" t="s">
        <v>817</v>
      </c>
      <c r="H31" s="616"/>
      <c r="I31" s="616"/>
      <c r="J31" s="616"/>
      <c r="K31" s="616"/>
      <c r="L31" s="616"/>
      <c r="M31" s="616"/>
    </row>
    <row r="32" ht="16.5" customHeight="1"/>
    <row r="33" spans="9:11" ht="12.75" hidden="1">
      <c r="I33" s="509" t="s">
        <v>949</v>
      </c>
      <c r="J33" s="509"/>
      <c r="K33" s="509"/>
    </row>
  </sheetData>
  <mergeCells count="9">
    <mergeCell ref="I33:K33"/>
    <mergeCell ref="E1:M1"/>
    <mergeCell ref="G31:M31"/>
    <mergeCell ref="A5:A6"/>
    <mergeCell ref="B5:B6"/>
    <mergeCell ref="C5:C6"/>
    <mergeCell ref="D5:M5"/>
    <mergeCell ref="A4:M4"/>
    <mergeCell ref="A29:B29"/>
  </mergeCells>
  <printOptions/>
  <pageMargins left="0.23" right="0.29" top="0.34" bottom="0.32" header="0.4" footer="0.29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V35"/>
  <sheetViews>
    <sheetView workbookViewId="0" topLeftCell="E14">
      <selection activeCell="N22" sqref="N22"/>
    </sheetView>
  </sheetViews>
  <sheetFormatPr defaultColWidth="9.00390625" defaultRowHeight="12.75"/>
  <cols>
    <col min="1" max="1" width="3.875" style="0" customWidth="1"/>
    <col min="2" max="2" width="18.375" style="0" customWidth="1"/>
    <col min="3" max="3" width="11.25390625" style="0" customWidth="1"/>
    <col min="4" max="4" width="10.25390625" style="0" customWidth="1"/>
    <col min="5" max="5" width="10.625" style="0" customWidth="1"/>
    <col min="6" max="7" width="10.75390625" style="0" customWidth="1"/>
    <col min="8" max="8" width="10.875" style="0" customWidth="1"/>
    <col min="9" max="12" width="11.25390625" style="0" customWidth="1"/>
    <col min="13" max="13" width="10.625" style="0" customWidth="1"/>
  </cols>
  <sheetData>
    <row r="1" spans="5:13" ht="17.25" customHeight="1">
      <c r="E1" s="627"/>
      <c r="F1" s="627"/>
      <c r="G1" s="512" t="s">
        <v>210</v>
      </c>
      <c r="H1" s="512"/>
      <c r="I1" s="512"/>
      <c r="J1" s="512"/>
      <c r="K1" s="512"/>
      <c r="L1" s="512"/>
      <c r="M1" s="512"/>
    </row>
    <row r="2" spans="2:12" ht="48.75" customHeight="1">
      <c r="B2" s="628" t="s">
        <v>918</v>
      </c>
      <c r="C2" s="628"/>
      <c r="D2" s="628"/>
      <c r="E2" s="628"/>
      <c r="F2" s="628"/>
      <c r="G2" s="628"/>
      <c r="H2" s="628"/>
      <c r="I2" s="628"/>
      <c r="J2" s="628"/>
      <c r="K2" s="628"/>
      <c r="L2" s="347"/>
    </row>
    <row r="3" spans="1:126" s="16" customFormat="1" ht="30.75" customHeight="1">
      <c r="A3" s="16" t="s">
        <v>631</v>
      </c>
      <c r="B3" s="16" t="s">
        <v>56</v>
      </c>
      <c r="C3" s="348" t="s">
        <v>919</v>
      </c>
      <c r="D3" s="16">
        <v>2006</v>
      </c>
      <c r="E3" s="16">
        <v>2007</v>
      </c>
      <c r="F3" s="16">
        <v>2008</v>
      </c>
      <c r="G3" s="16">
        <v>2009</v>
      </c>
      <c r="H3" s="16">
        <v>2010</v>
      </c>
      <c r="I3" s="16">
        <v>2011</v>
      </c>
      <c r="J3" s="16">
        <v>2012</v>
      </c>
      <c r="K3" s="16">
        <v>2013</v>
      </c>
      <c r="L3" s="16">
        <v>2014</v>
      </c>
      <c r="M3" s="16">
        <v>2015</v>
      </c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  <c r="DA3" s="125"/>
      <c r="DB3" s="125"/>
      <c r="DC3" s="125"/>
      <c r="DD3" s="125"/>
      <c r="DE3" s="125"/>
      <c r="DF3" s="125"/>
      <c r="DG3" s="125"/>
      <c r="DH3" s="125"/>
      <c r="DI3" s="125"/>
      <c r="DJ3" s="125"/>
      <c r="DK3" s="125"/>
      <c r="DL3" s="125"/>
      <c r="DM3" s="125"/>
      <c r="DN3" s="125"/>
      <c r="DO3" s="125"/>
      <c r="DP3" s="125"/>
      <c r="DQ3" s="125"/>
      <c r="DR3" s="125"/>
      <c r="DS3" s="125"/>
      <c r="DT3" s="125"/>
      <c r="DU3" s="125"/>
      <c r="DV3" s="125"/>
    </row>
    <row r="4" spans="1:13" ht="17.25" customHeight="1">
      <c r="A4" s="217" t="s">
        <v>679</v>
      </c>
      <c r="B4" s="204" t="s">
        <v>730</v>
      </c>
      <c r="C4" s="251">
        <f>'z9'!C20</f>
        <v>30327932</v>
      </c>
      <c r="D4" s="251">
        <f>'z9'!D20</f>
        <v>32137092</v>
      </c>
      <c r="E4" s="251">
        <f>'z9'!E20</f>
        <v>31631000</v>
      </c>
      <c r="F4" s="251">
        <f>'z9'!F20</f>
        <v>30145000</v>
      </c>
      <c r="G4" s="251">
        <f>'z9'!G20</f>
        <v>29600000</v>
      </c>
      <c r="H4" s="251">
        <f>'z9'!H20</f>
        <v>29200000</v>
      </c>
      <c r="I4" s="251">
        <f>'z9'!I20</f>
        <v>29400000</v>
      </c>
      <c r="J4" s="251">
        <f>'z9'!J20</f>
        <v>29500000</v>
      </c>
      <c r="K4" s="251">
        <f>'z9'!K20</f>
        <v>29600000</v>
      </c>
      <c r="L4" s="251">
        <f>'z9'!L20</f>
        <v>29700000</v>
      </c>
      <c r="M4" s="251">
        <f>'z9'!M20</f>
        <v>30000000</v>
      </c>
    </row>
    <row r="5" spans="1:13" ht="18" customHeight="1">
      <c r="A5" s="217" t="s">
        <v>632</v>
      </c>
      <c r="B5" s="208" t="s">
        <v>633</v>
      </c>
      <c r="C5" s="251">
        <f>C6+C7+C8+C9</f>
        <v>4850024</v>
      </c>
      <c r="D5" s="251">
        <f aca="true" t="shared" si="0" ref="D5:M5">D6+D7+D8+D9</f>
        <v>5590873</v>
      </c>
      <c r="E5" s="251">
        <f t="shared" si="0"/>
        <v>4700000</v>
      </c>
      <c r="F5" s="251">
        <f t="shared" si="0"/>
        <v>4960000</v>
      </c>
      <c r="G5" s="251">
        <f t="shared" si="0"/>
        <v>5100000</v>
      </c>
      <c r="H5" s="251">
        <f t="shared" si="0"/>
        <v>5300000</v>
      </c>
      <c r="I5" s="251">
        <f t="shared" si="0"/>
        <v>5450000</v>
      </c>
      <c r="J5" s="251">
        <f t="shared" si="0"/>
        <v>5650000</v>
      </c>
      <c r="K5" s="251">
        <f t="shared" si="0"/>
        <v>5800000</v>
      </c>
      <c r="L5" s="251">
        <f t="shared" si="0"/>
        <v>6100000</v>
      </c>
      <c r="M5" s="251">
        <f t="shared" si="0"/>
        <v>5500000</v>
      </c>
    </row>
    <row r="6" spans="1:13" ht="15" customHeight="1">
      <c r="A6" s="209" t="s">
        <v>687</v>
      </c>
      <c r="B6" s="208" t="s">
        <v>634</v>
      </c>
      <c r="C6" s="252">
        <v>893235</v>
      </c>
      <c r="D6" s="252">
        <v>1414462</v>
      </c>
      <c r="E6" s="252">
        <v>1250000</v>
      </c>
      <c r="F6" s="252">
        <v>1270000</v>
      </c>
      <c r="G6" s="252">
        <v>1270000</v>
      </c>
      <c r="H6" s="252">
        <v>1250000</v>
      </c>
      <c r="I6" s="252">
        <v>1250000</v>
      </c>
      <c r="J6" s="252">
        <v>1250000</v>
      </c>
      <c r="K6" s="252">
        <v>1250000</v>
      </c>
      <c r="L6" s="252">
        <v>1250000</v>
      </c>
      <c r="M6" s="252">
        <v>850000</v>
      </c>
    </row>
    <row r="7" spans="1:13" ht="24.75" customHeight="1">
      <c r="A7" s="209" t="s">
        <v>688</v>
      </c>
      <c r="B7" s="208" t="s">
        <v>920</v>
      </c>
      <c r="C7" s="252">
        <v>1704992</v>
      </c>
      <c r="D7" s="252">
        <v>2035013</v>
      </c>
      <c r="E7" s="252">
        <v>1900000</v>
      </c>
      <c r="F7" s="252">
        <v>1990000</v>
      </c>
      <c r="G7" s="252">
        <v>2100000</v>
      </c>
      <c r="H7" s="252">
        <v>2250000</v>
      </c>
      <c r="I7" s="252">
        <v>2350000</v>
      </c>
      <c r="J7" s="252">
        <v>2450000</v>
      </c>
      <c r="K7" s="252">
        <v>2600000</v>
      </c>
      <c r="L7" s="252">
        <v>2800000</v>
      </c>
      <c r="M7" s="252">
        <v>2600000</v>
      </c>
    </row>
    <row r="8" spans="1:13" ht="16.5" customHeight="1">
      <c r="A8" s="209" t="s">
        <v>690</v>
      </c>
      <c r="B8" s="208" t="s">
        <v>635</v>
      </c>
      <c r="C8" s="252">
        <v>934837</v>
      </c>
      <c r="D8" s="252">
        <v>847746</v>
      </c>
      <c r="E8" s="252">
        <v>600000</v>
      </c>
      <c r="F8" s="252">
        <v>650000</v>
      </c>
      <c r="G8" s="252">
        <v>650000</v>
      </c>
      <c r="H8" s="252">
        <v>700000</v>
      </c>
      <c r="I8" s="252">
        <v>700000</v>
      </c>
      <c r="J8" s="252">
        <v>750000</v>
      </c>
      <c r="K8" s="252">
        <v>750000</v>
      </c>
      <c r="L8" s="252">
        <v>750000</v>
      </c>
      <c r="M8" s="252">
        <v>750000</v>
      </c>
    </row>
    <row r="9" spans="1:13" ht="15.75" customHeight="1">
      <c r="A9" s="209" t="s">
        <v>692</v>
      </c>
      <c r="B9" s="208" t="s">
        <v>636</v>
      </c>
      <c r="C9" s="252">
        <v>1316960</v>
      </c>
      <c r="D9" s="252">
        <v>1293652</v>
      </c>
      <c r="E9" s="252">
        <v>950000</v>
      </c>
      <c r="F9" s="252">
        <v>1050000</v>
      </c>
      <c r="G9" s="252">
        <v>1080000</v>
      </c>
      <c r="H9" s="252">
        <v>1100000</v>
      </c>
      <c r="I9" s="252">
        <v>1150000</v>
      </c>
      <c r="J9" s="252">
        <v>1200000</v>
      </c>
      <c r="K9" s="252">
        <v>1200000</v>
      </c>
      <c r="L9" s="252">
        <v>1300000</v>
      </c>
      <c r="M9" s="252">
        <v>1300000</v>
      </c>
    </row>
    <row r="10" spans="1:13" ht="17.25" customHeight="1">
      <c r="A10" s="217" t="s">
        <v>637</v>
      </c>
      <c r="B10" s="204" t="s">
        <v>638</v>
      </c>
      <c r="C10" s="251">
        <v>16617948</v>
      </c>
      <c r="D10" s="251">
        <v>16269381</v>
      </c>
      <c r="E10" s="251">
        <v>17500000</v>
      </c>
      <c r="F10" s="251">
        <v>17800000</v>
      </c>
      <c r="G10" s="251">
        <v>17900000</v>
      </c>
      <c r="H10" s="251">
        <v>18000000</v>
      </c>
      <c r="I10" s="251">
        <v>18100000</v>
      </c>
      <c r="J10" s="251">
        <v>18250000</v>
      </c>
      <c r="K10" s="251">
        <v>18400000</v>
      </c>
      <c r="L10" s="251">
        <v>18600000</v>
      </c>
      <c r="M10" s="251">
        <v>18600000</v>
      </c>
    </row>
    <row r="11" spans="1:13" ht="15.75" customHeight="1">
      <c r="A11" s="217" t="s">
        <v>639</v>
      </c>
      <c r="B11" s="204" t="s">
        <v>640</v>
      </c>
      <c r="C11" s="251">
        <v>8859960</v>
      </c>
      <c r="D11" s="251">
        <v>10276838</v>
      </c>
      <c r="E11" s="251">
        <v>6000000</v>
      </c>
      <c r="F11" s="251">
        <v>5640000</v>
      </c>
      <c r="G11" s="251">
        <v>5600000</v>
      </c>
      <c r="H11" s="251">
        <v>5400000</v>
      </c>
      <c r="I11" s="251">
        <v>5250000</v>
      </c>
      <c r="J11" s="251">
        <v>5000000</v>
      </c>
      <c r="K11" s="251">
        <v>4800000</v>
      </c>
      <c r="L11" s="251">
        <v>4800000</v>
      </c>
      <c r="M11" s="251">
        <v>4800000</v>
      </c>
    </row>
    <row r="12" spans="1:13" ht="16.5" customHeight="1">
      <c r="A12" s="217" t="s">
        <v>681</v>
      </c>
      <c r="B12" s="204" t="s">
        <v>641</v>
      </c>
      <c r="C12" s="251">
        <f aca="true" t="shared" si="1" ref="C12:M12">C13+C14</f>
        <v>32061849</v>
      </c>
      <c r="D12" s="251">
        <f t="shared" si="1"/>
        <v>32134762</v>
      </c>
      <c r="E12" s="251">
        <f t="shared" si="1"/>
        <v>27000000</v>
      </c>
      <c r="F12" s="251">
        <f t="shared" si="1"/>
        <v>27200000</v>
      </c>
      <c r="G12" s="251">
        <f t="shared" si="1"/>
        <v>27360000</v>
      </c>
      <c r="H12" s="251">
        <f t="shared" si="1"/>
        <v>27500000</v>
      </c>
      <c r="I12" s="251">
        <f t="shared" si="1"/>
        <v>27550000</v>
      </c>
      <c r="J12" s="251">
        <f t="shared" si="1"/>
        <v>27650000</v>
      </c>
      <c r="K12" s="251">
        <f t="shared" si="1"/>
        <v>28000000</v>
      </c>
      <c r="L12" s="251">
        <f t="shared" si="1"/>
        <v>28900000</v>
      </c>
      <c r="M12" s="251">
        <f t="shared" si="1"/>
        <v>28900000</v>
      </c>
    </row>
    <row r="13" spans="1:13" ht="16.5" customHeight="1">
      <c r="A13" s="209" t="s">
        <v>632</v>
      </c>
      <c r="B13" s="208" t="s">
        <v>63</v>
      </c>
      <c r="C13" s="252">
        <v>25017451</v>
      </c>
      <c r="D13" s="252">
        <v>25713750</v>
      </c>
      <c r="E13" s="252">
        <v>24500000</v>
      </c>
      <c r="F13" s="252">
        <v>24650000</v>
      </c>
      <c r="G13" s="252">
        <v>24810000</v>
      </c>
      <c r="H13" s="252">
        <v>24950000</v>
      </c>
      <c r="I13" s="252">
        <v>25050000</v>
      </c>
      <c r="J13" s="252">
        <v>25150000</v>
      </c>
      <c r="K13" s="252">
        <v>25400000</v>
      </c>
      <c r="L13" s="210">
        <v>25900000</v>
      </c>
      <c r="M13" s="210">
        <v>25900000</v>
      </c>
    </row>
    <row r="14" spans="1:13" ht="16.5" customHeight="1">
      <c r="A14" s="209" t="s">
        <v>637</v>
      </c>
      <c r="B14" s="208" t="s">
        <v>165</v>
      </c>
      <c r="C14" s="252">
        <v>7044398</v>
      </c>
      <c r="D14" s="252">
        <v>6421012</v>
      </c>
      <c r="E14" s="252">
        <v>2500000</v>
      </c>
      <c r="F14" s="252">
        <v>2550000</v>
      </c>
      <c r="G14" s="252">
        <v>2550000</v>
      </c>
      <c r="H14" s="252">
        <v>2550000</v>
      </c>
      <c r="I14" s="252">
        <v>2500000</v>
      </c>
      <c r="J14" s="252">
        <v>2500000</v>
      </c>
      <c r="K14" s="252">
        <v>2600000</v>
      </c>
      <c r="L14" s="210">
        <v>3000000</v>
      </c>
      <c r="M14" s="210">
        <v>3000000</v>
      </c>
    </row>
    <row r="15" spans="1:13" ht="24" customHeight="1">
      <c r="A15" s="217" t="s">
        <v>685</v>
      </c>
      <c r="B15" s="204" t="s">
        <v>642</v>
      </c>
      <c r="C15" s="251">
        <f aca="true" t="shared" si="2" ref="C15:M15">C16+C20</f>
        <v>1713882</v>
      </c>
      <c r="D15" s="251">
        <f t="shared" si="2"/>
        <v>4061180</v>
      </c>
      <c r="E15" s="251">
        <f t="shared" si="2"/>
        <v>2747768</v>
      </c>
      <c r="F15" s="251">
        <f t="shared" si="2"/>
        <v>2539493</v>
      </c>
      <c r="G15" s="251">
        <f t="shared" si="2"/>
        <v>2699172</v>
      </c>
      <c r="H15" s="251">
        <f t="shared" si="2"/>
        <v>2356172</v>
      </c>
      <c r="I15" s="251">
        <f t="shared" si="2"/>
        <v>2301022</v>
      </c>
      <c r="J15" s="251">
        <f t="shared" si="2"/>
        <v>1568971</v>
      </c>
      <c r="K15" s="251">
        <f t="shared" si="2"/>
        <v>1026404</v>
      </c>
      <c r="L15" s="251">
        <f t="shared" si="2"/>
        <v>189419</v>
      </c>
      <c r="M15" s="251">
        <f t="shared" si="2"/>
        <v>0</v>
      </c>
    </row>
    <row r="16" spans="1:13" ht="25.5" customHeight="1">
      <c r="A16" s="217" t="s">
        <v>632</v>
      </c>
      <c r="B16" s="204" t="s">
        <v>643</v>
      </c>
      <c r="C16" s="251">
        <f>C17+C18+C19</f>
        <v>1713882</v>
      </c>
      <c r="D16" s="251">
        <f aca="true" t="shared" si="3" ref="D16:M16">D17+D18+D19</f>
        <v>4061180</v>
      </c>
      <c r="E16" s="251">
        <f t="shared" si="3"/>
        <v>2747768</v>
      </c>
      <c r="F16" s="251">
        <f t="shared" si="3"/>
        <v>2539493</v>
      </c>
      <c r="G16" s="251">
        <f t="shared" si="3"/>
        <v>2699172</v>
      </c>
      <c r="H16" s="251">
        <f t="shared" si="3"/>
        <v>2356172</v>
      </c>
      <c r="I16" s="251">
        <f t="shared" si="3"/>
        <v>2301022</v>
      </c>
      <c r="J16" s="251">
        <f t="shared" si="3"/>
        <v>1568971</v>
      </c>
      <c r="K16" s="251">
        <f t="shared" si="3"/>
        <v>1026404</v>
      </c>
      <c r="L16" s="251">
        <f t="shared" si="3"/>
        <v>189419</v>
      </c>
      <c r="M16" s="251">
        <f t="shared" si="3"/>
        <v>0</v>
      </c>
    </row>
    <row r="17" spans="1:13" ht="17.25" customHeight="1">
      <c r="A17" s="209" t="s">
        <v>687</v>
      </c>
      <c r="B17" s="208" t="s">
        <v>644</v>
      </c>
      <c r="C17" s="252">
        <v>1142968</v>
      </c>
      <c r="D17" s="252">
        <v>1573648</v>
      </c>
      <c r="E17" s="252">
        <v>1807768</v>
      </c>
      <c r="F17" s="252">
        <v>1825493</v>
      </c>
      <c r="G17" s="252">
        <v>1861768</v>
      </c>
      <c r="H17" s="252">
        <v>1671768</v>
      </c>
      <c r="I17" s="252">
        <v>1671618</v>
      </c>
      <c r="J17" s="252">
        <v>1056567</v>
      </c>
      <c r="K17" s="252">
        <v>630000</v>
      </c>
      <c r="L17" s="252">
        <v>0</v>
      </c>
      <c r="M17" s="252">
        <v>0</v>
      </c>
    </row>
    <row r="18" spans="1:13" ht="57.75" customHeight="1">
      <c r="A18" s="209"/>
      <c r="B18" s="349" t="s">
        <v>921</v>
      </c>
      <c r="C18" s="252">
        <v>0</v>
      </c>
      <c r="D18" s="252">
        <v>1887532</v>
      </c>
      <c r="E18" s="252">
        <v>0</v>
      </c>
      <c r="F18" s="252">
        <v>15000</v>
      </c>
      <c r="G18" s="252">
        <v>176404</v>
      </c>
      <c r="H18" s="252">
        <v>176404</v>
      </c>
      <c r="I18" s="252">
        <v>176404</v>
      </c>
      <c r="J18" s="252">
        <v>176404</v>
      </c>
      <c r="K18" s="252">
        <v>176404</v>
      </c>
      <c r="L18" s="210">
        <v>176419</v>
      </c>
      <c r="M18" s="210">
        <v>0</v>
      </c>
    </row>
    <row r="19" spans="1:13" ht="16.5" customHeight="1">
      <c r="A19" s="209" t="s">
        <v>688</v>
      </c>
      <c r="B19" s="208" t="s">
        <v>645</v>
      </c>
      <c r="C19" s="252">
        <v>570914</v>
      </c>
      <c r="D19" s="252">
        <v>600000</v>
      </c>
      <c r="E19" s="252">
        <v>940000</v>
      </c>
      <c r="F19" s="252">
        <v>699000</v>
      </c>
      <c r="G19" s="252">
        <v>661000</v>
      </c>
      <c r="H19" s="252">
        <v>508000</v>
      </c>
      <c r="I19" s="252">
        <v>453000</v>
      </c>
      <c r="J19" s="252">
        <v>336000</v>
      </c>
      <c r="K19" s="252">
        <v>220000</v>
      </c>
      <c r="L19" s="210">
        <v>13000</v>
      </c>
      <c r="M19" s="210">
        <v>0</v>
      </c>
    </row>
    <row r="20" spans="1:13" ht="49.5" customHeight="1">
      <c r="A20" s="217" t="s">
        <v>637</v>
      </c>
      <c r="B20" s="204" t="s">
        <v>922</v>
      </c>
      <c r="C20" s="251">
        <f>C21+C22+C23</f>
        <v>0</v>
      </c>
      <c r="D20" s="251">
        <v>0</v>
      </c>
      <c r="E20" s="251">
        <f aca="true" t="shared" si="4" ref="E20:M20">E21+E22+E23</f>
        <v>0</v>
      </c>
      <c r="F20" s="251">
        <f t="shared" si="4"/>
        <v>0</v>
      </c>
      <c r="G20" s="251">
        <f t="shared" si="4"/>
        <v>0</v>
      </c>
      <c r="H20" s="251">
        <f t="shared" si="4"/>
        <v>0</v>
      </c>
      <c r="I20" s="251">
        <f t="shared" si="4"/>
        <v>0</v>
      </c>
      <c r="J20" s="251">
        <f t="shared" si="4"/>
        <v>0</v>
      </c>
      <c r="K20" s="251">
        <f t="shared" si="4"/>
        <v>0</v>
      </c>
      <c r="L20" s="251">
        <f t="shared" si="4"/>
        <v>0</v>
      </c>
      <c r="M20" s="251">
        <f t="shared" si="4"/>
        <v>0</v>
      </c>
    </row>
    <row r="21" spans="1:13" ht="27.75" customHeight="1">
      <c r="A21" s="217"/>
      <c r="B21" s="208" t="s">
        <v>923</v>
      </c>
      <c r="C21" s="252">
        <v>0</v>
      </c>
      <c r="D21" s="252">
        <v>0</v>
      </c>
      <c r="E21" s="252">
        <v>0</v>
      </c>
      <c r="F21" s="252">
        <v>0</v>
      </c>
      <c r="G21" s="252">
        <v>0</v>
      </c>
      <c r="H21" s="252">
        <v>0</v>
      </c>
      <c r="I21" s="252">
        <v>0</v>
      </c>
      <c r="J21" s="252">
        <v>0</v>
      </c>
      <c r="K21" s="252">
        <v>0</v>
      </c>
      <c r="L21" s="252">
        <v>0</v>
      </c>
      <c r="M21" s="252">
        <v>0</v>
      </c>
    </row>
    <row r="22" spans="1:13" ht="61.5" customHeight="1">
      <c r="A22" s="217"/>
      <c r="B22" s="349" t="s">
        <v>921</v>
      </c>
      <c r="C22" s="252">
        <v>0</v>
      </c>
      <c r="D22" s="252"/>
      <c r="E22" s="252"/>
      <c r="F22" s="252"/>
      <c r="G22" s="252"/>
      <c r="H22" s="252"/>
      <c r="I22" s="252"/>
      <c r="J22" s="252"/>
      <c r="K22" s="252"/>
      <c r="L22" s="252"/>
      <c r="M22" s="252"/>
    </row>
    <row r="23" spans="1:13" ht="16.5" customHeight="1">
      <c r="A23" s="217"/>
      <c r="B23" s="208" t="s">
        <v>645</v>
      </c>
      <c r="C23" s="252">
        <v>0</v>
      </c>
      <c r="D23" s="252">
        <v>0</v>
      </c>
      <c r="E23" s="252">
        <v>0</v>
      </c>
      <c r="F23" s="252">
        <v>0</v>
      </c>
      <c r="G23" s="252">
        <v>0</v>
      </c>
      <c r="H23" s="252">
        <v>0</v>
      </c>
      <c r="I23" s="252">
        <v>0</v>
      </c>
      <c r="J23" s="252">
        <v>0</v>
      </c>
      <c r="K23" s="252">
        <v>0</v>
      </c>
      <c r="L23" s="252">
        <v>0</v>
      </c>
      <c r="M23" s="252">
        <v>0</v>
      </c>
    </row>
    <row r="24" spans="1:13" ht="21" customHeight="1" hidden="1">
      <c r="A24" s="209" t="s">
        <v>639</v>
      </c>
      <c r="B24" s="208" t="s">
        <v>646</v>
      </c>
      <c r="C24" s="252">
        <v>0</v>
      </c>
      <c r="D24" s="252">
        <v>0</v>
      </c>
      <c r="E24" s="252">
        <v>0</v>
      </c>
      <c r="F24" s="252">
        <v>0</v>
      </c>
      <c r="G24" s="252">
        <v>0</v>
      </c>
      <c r="H24" s="252">
        <v>0</v>
      </c>
      <c r="I24" s="252">
        <v>0</v>
      </c>
      <c r="J24" s="252">
        <v>0</v>
      </c>
      <c r="K24" s="252">
        <v>0</v>
      </c>
      <c r="L24" s="210">
        <v>0</v>
      </c>
      <c r="M24" s="210">
        <v>0</v>
      </c>
    </row>
    <row r="25" spans="1:13" ht="21" customHeight="1">
      <c r="A25" s="217" t="s">
        <v>639</v>
      </c>
      <c r="B25" s="204" t="s">
        <v>924</v>
      </c>
      <c r="C25" s="251">
        <v>0</v>
      </c>
      <c r="D25" s="251">
        <v>180892</v>
      </c>
      <c r="E25" s="251">
        <v>196326</v>
      </c>
      <c r="F25" s="251">
        <v>279877</v>
      </c>
      <c r="G25" s="251">
        <v>191985</v>
      </c>
      <c r="H25" s="251">
        <v>214251</v>
      </c>
      <c r="I25" s="251">
        <v>280968</v>
      </c>
      <c r="J25" s="251">
        <v>1099598</v>
      </c>
      <c r="K25" s="251">
        <v>105398</v>
      </c>
      <c r="L25" s="206">
        <v>102446</v>
      </c>
      <c r="M25" s="206">
        <v>36982</v>
      </c>
    </row>
    <row r="26" spans="1:13" ht="18.75" customHeight="1">
      <c r="A26" s="217" t="s">
        <v>714</v>
      </c>
      <c r="B26" s="253" t="s">
        <v>647</v>
      </c>
      <c r="C26" s="251">
        <f aca="true" t="shared" si="5" ref="C26:M26">C4-C12</f>
        <v>-1733917</v>
      </c>
      <c r="D26" s="251">
        <f t="shared" si="5"/>
        <v>2330</v>
      </c>
      <c r="E26" s="251">
        <f t="shared" si="5"/>
        <v>4631000</v>
      </c>
      <c r="F26" s="251">
        <f t="shared" si="5"/>
        <v>2945000</v>
      </c>
      <c r="G26" s="251">
        <f t="shared" si="5"/>
        <v>2240000</v>
      </c>
      <c r="H26" s="251">
        <f t="shared" si="5"/>
        <v>1700000</v>
      </c>
      <c r="I26" s="251">
        <f t="shared" si="5"/>
        <v>1850000</v>
      </c>
      <c r="J26" s="251">
        <f t="shared" si="5"/>
        <v>1850000</v>
      </c>
      <c r="K26" s="251">
        <f t="shared" si="5"/>
        <v>1600000</v>
      </c>
      <c r="L26" s="251">
        <f t="shared" si="5"/>
        <v>800000</v>
      </c>
      <c r="M26" s="251">
        <f t="shared" si="5"/>
        <v>1100000</v>
      </c>
    </row>
    <row r="27" spans="1:13" s="37" customFormat="1" ht="28.5" customHeight="1">
      <c r="A27" s="217" t="s">
        <v>721</v>
      </c>
      <c r="B27" s="204" t="s">
        <v>648</v>
      </c>
      <c r="C27" s="251">
        <f>'z9'!C19</f>
        <v>11295930</v>
      </c>
      <c r="D27" s="251">
        <f>'z9'!D19</f>
        <v>11444874</v>
      </c>
      <c r="E27" s="251">
        <f>'z9'!E19</f>
        <v>9986979</v>
      </c>
      <c r="F27" s="251">
        <f>'z9'!F19</f>
        <v>8230037</v>
      </c>
      <c r="G27" s="251">
        <f>'z9'!G19</f>
        <v>6103973</v>
      </c>
      <c r="H27" s="251">
        <f>'z9'!H19</f>
        <v>4278067</v>
      </c>
      <c r="I27" s="251">
        <f>'z9'!I19</f>
        <v>2496762</v>
      </c>
      <c r="J27" s="251">
        <f>'z9'!J19</f>
        <v>2082421</v>
      </c>
      <c r="K27" s="251">
        <f>'z9'!K19</f>
        <v>281817</v>
      </c>
      <c r="L27" s="251">
        <f>'z9'!L19</f>
        <v>102446</v>
      </c>
      <c r="M27" s="251">
        <f>'z9'!M19</f>
        <v>36982</v>
      </c>
    </row>
    <row r="28" spans="1:13" s="37" customFormat="1" ht="50.25" customHeight="1">
      <c r="A28" s="209" t="s">
        <v>687</v>
      </c>
      <c r="B28" s="349" t="s">
        <v>816</v>
      </c>
      <c r="C28" s="252">
        <v>356000</v>
      </c>
      <c r="D28" s="252">
        <v>739000</v>
      </c>
      <c r="E28" s="252">
        <v>1073439</v>
      </c>
      <c r="F28" s="252">
        <v>1058439</v>
      </c>
      <c r="G28" s="252">
        <v>882035</v>
      </c>
      <c r="H28" s="252">
        <v>705631</v>
      </c>
      <c r="I28" s="252">
        <v>529227</v>
      </c>
      <c r="J28" s="252">
        <v>352823</v>
      </c>
      <c r="K28" s="252">
        <v>176419</v>
      </c>
      <c r="L28" s="210">
        <v>0</v>
      </c>
      <c r="M28" s="210">
        <v>0</v>
      </c>
    </row>
    <row r="29" spans="1:13" s="37" customFormat="1" ht="28.5" customHeight="1">
      <c r="A29" s="217" t="s">
        <v>925</v>
      </c>
      <c r="B29" s="204" t="s">
        <v>926</v>
      </c>
      <c r="C29" s="350">
        <f aca="true" t="shared" si="6" ref="C29:M29">C27/C4</f>
        <v>0.3724596190732688</v>
      </c>
      <c r="D29" s="350">
        <f t="shared" si="6"/>
        <v>0.3561266215375056</v>
      </c>
      <c r="E29" s="350">
        <f t="shared" si="6"/>
        <v>0.31573390028769244</v>
      </c>
      <c r="F29" s="350">
        <f t="shared" si="6"/>
        <v>0.27301499419472547</v>
      </c>
      <c r="G29" s="350">
        <f t="shared" si="6"/>
        <v>0.20621530405405405</v>
      </c>
      <c r="H29" s="350">
        <f t="shared" si="6"/>
        <v>0.14650914383561645</v>
      </c>
      <c r="I29" s="350">
        <f t="shared" si="6"/>
        <v>0.0849238775510204</v>
      </c>
      <c r="J29" s="350">
        <f t="shared" si="6"/>
        <v>0.07059054237288136</v>
      </c>
      <c r="K29" s="350">
        <f t="shared" si="6"/>
        <v>0.009520844594594595</v>
      </c>
      <c r="L29" s="350">
        <f t="shared" si="6"/>
        <v>0.003449360269360269</v>
      </c>
      <c r="M29" s="350">
        <f t="shared" si="6"/>
        <v>0.0012327333333333333</v>
      </c>
    </row>
    <row r="30" spans="1:13" s="37" customFormat="1" ht="45" customHeight="1">
      <c r="A30" s="217" t="s">
        <v>927</v>
      </c>
      <c r="B30" s="204" t="s">
        <v>933</v>
      </c>
      <c r="C30" s="350">
        <f>C16/C4</f>
        <v>0.05651166719840971</v>
      </c>
      <c r="D30" s="350">
        <f aca="true" t="shared" si="7" ref="D30:M30">D16/D4</f>
        <v>0.1263704880329558</v>
      </c>
      <c r="E30" s="350">
        <f t="shared" si="7"/>
        <v>0.08686946350099586</v>
      </c>
      <c r="F30" s="350">
        <f t="shared" si="7"/>
        <v>0.0842425941283795</v>
      </c>
      <c r="G30" s="350">
        <f t="shared" si="7"/>
        <v>0.09118824324324325</v>
      </c>
      <c r="H30" s="350">
        <f t="shared" si="7"/>
        <v>0.08069082191780821</v>
      </c>
      <c r="I30" s="350">
        <f t="shared" si="7"/>
        <v>0.0782660544217687</v>
      </c>
      <c r="J30" s="350">
        <f t="shared" si="7"/>
        <v>0.05318545762711865</v>
      </c>
      <c r="K30" s="350">
        <f t="shared" si="7"/>
        <v>0.03467581081081081</v>
      </c>
      <c r="L30" s="350">
        <f t="shared" si="7"/>
        <v>0.006377744107744107</v>
      </c>
      <c r="M30" s="350">
        <f t="shared" si="7"/>
        <v>0</v>
      </c>
    </row>
    <row r="31" spans="1:13" s="37" customFormat="1" ht="24.75" customHeight="1">
      <c r="A31" s="217" t="s">
        <v>934</v>
      </c>
      <c r="B31" s="204" t="s">
        <v>926</v>
      </c>
      <c r="C31" s="350">
        <f>C27/C4</f>
        <v>0.3724596190732688</v>
      </c>
      <c r="D31" s="350">
        <f aca="true" t="shared" si="8" ref="D31:M31">D27/D4</f>
        <v>0.3561266215375056</v>
      </c>
      <c r="E31" s="350">
        <f t="shared" si="8"/>
        <v>0.31573390028769244</v>
      </c>
      <c r="F31" s="350">
        <f t="shared" si="8"/>
        <v>0.27301499419472547</v>
      </c>
      <c r="G31" s="350">
        <f t="shared" si="8"/>
        <v>0.20621530405405405</v>
      </c>
      <c r="H31" s="350">
        <f t="shared" si="8"/>
        <v>0.14650914383561645</v>
      </c>
      <c r="I31" s="350">
        <f t="shared" si="8"/>
        <v>0.0849238775510204</v>
      </c>
      <c r="J31" s="350">
        <f t="shared" si="8"/>
        <v>0.07059054237288136</v>
      </c>
      <c r="K31" s="350">
        <f t="shared" si="8"/>
        <v>0.009520844594594595</v>
      </c>
      <c r="L31" s="350">
        <f t="shared" si="8"/>
        <v>0.003449360269360269</v>
      </c>
      <c r="M31" s="350">
        <f t="shared" si="8"/>
        <v>0.0012327333333333333</v>
      </c>
    </row>
    <row r="32" spans="1:13" s="37" customFormat="1" ht="44.25" customHeight="1">
      <c r="A32" s="217" t="s">
        <v>935</v>
      </c>
      <c r="B32" s="204" t="s">
        <v>933</v>
      </c>
      <c r="C32" s="350">
        <f>C16/C4</f>
        <v>0.05651166719840971</v>
      </c>
      <c r="D32" s="350">
        <f aca="true" t="shared" si="9" ref="D32:M32">D16/D4</f>
        <v>0.1263704880329558</v>
      </c>
      <c r="E32" s="350">
        <f t="shared" si="9"/>
        <v>0.08686946350099586</v>
      </c>
      <c r="F32" s="350">
        <f t="shared" si="9"/>
        <v>0.0842425941283795</v>
      </c>
      <c r="G32" s="350">
        <f t="shared" si="9"/>
        <v>0.09118824324324325</v>
      </c>
      <c r="H32" s="350">
        <f t="shared" si="9"/>
        <v>0.08069082191780821</v>
      </c>
      <c r="I32" s="350">
        <f t="shared" si="9"/>
        <v>0.0782660544217687</v>
      </c>
      <c r="J32" s="350">
        <f t="shared" si="9"/>
        <v>0.05318545762711865</v>
      </c>
      <c r="K32" s="350">
        <f t="shared" si="9"/>
        <v>0.03467581081081081</v>
      </c>
      <c r="L32" s="350">
        <f t="shared" si="9"/>
        <v>0.006377744107744107</v>
      </c>
      <c r="M32" s="350">
        <f t="shared" si="9"/>
        <v>0</v>
      </c>
    </row>
    <row r="33" spans="1:8" ht="30.75" customHeight="1">
      <c r="A33" s="626"/>
      <c r="B33" s="626"/>
      <c r="C33" s="626"/>
      <c r="D33" s="626"/>
      <c r="E33" s="626"/>
      <c r="F33" s="626"/>
      <c r="G33" s="626"/>
      <c r="H33" s="626"/>
    </row>
    <row r="34" spans="1:13" ht="14.25" customHeight="1">
      <c r="A34" s="626"/>
      <c r="B34" s="626"/>
      <c r="C34" s="626"/>
      <c r="D34" s="626"/>
      <c r="E34" s="626"/>
      <c r="F34" s="626"/>
      <c r="G34" s="626"/>
      <c r="H34" s="626"/>
      <c r="J34" s="509" t="s">
        <v>233</v>
      </c>
      <c r="K34" s="509"/>
      <c r="L34" s="509"/>
      <c r="M34" s="509"/>
    </row>
    <row r="35" spans="10:13" ht="28.5" customHeight="1">
      <c r="J35" s="509" t="s">
        <v>949</v>
      </c>
      <c r="K35" s="509"/>
      <c r="L35" s="509"/>
      <c r="M35" s="509"/>
    </row>
    <row r="36" ht="18" customHeight="1"/>
  </sheetData>
  <mergeCells count="7">
    <mergeCell ref="J35:M35"/>
    <mergeCell ref="A34:H34"/>
    <mergeCell ref="E1:F1"/>
    <mergeCell ref="B2:K2"/>
    <mergeCell ref="A33:H33"/>
    <mergeCell ref="G1:M1"/>
    <mergeCell ref="J34:M34"/>
  </mergeCells>
  <printOptions/>
  <pageMargins left="0.1968503937007874" right="0.1968503937007874" top="0.1968503937007874" bottom="0.1968503937007874" header="0.5118110236220472" footer="0.5118110236220472"/>
  <pageSetup horizontalDpi="360" verticalDpi="36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L37"/>
  <sheetViews>
    <sheetView workbookViewId="0" topLeftCell="C12">
      <selection activeCell="E27" sqref="E27"/>
    </sheetView>
  </sheetViews>
  <sheetFormatPr defaultColWidth="9.00390625" defaultRowHeight="12.75"/>
  <cols>
    <col min="1" max="1" width="6.625" style="0" customWidth="1"/>
    <col min="2" max="2" width="42.125" style="0" customWidth="1"/>
    <col min="3" max="3" width="17.875" style="0" customWidth="1"/>
    <col min="4" max="4" width="21.875" style="0" customWidth="1"/>
    <col min="5" max="6" width="27.375" style="0" customWidth="1"/>
  </cols>
  <sheetData>
    <row r="1" ht="12.75" customHeight="1"/>
    <row r="2" spans="3:6" ht="49.5" customHeight="1">
      <c r="C2" s="629" t="s">
        <v>152</v>
      </c>
      <c r="D2" s="629"/>
      <c r="E2" s="241"/>
      <c r="F2" s="241"/>
    </row>
    <row r="3" spans="1:9" ht="15.75">
      <c r="A3" s="631" t="s">
        <v>674</v>
      </c>
      <c r="B3" s="631"/>
      <c r="C3" s="631"/>
      <c r="D3" s="631"/>
      <c r="E3" s="631"/>
      <c r="F3" s="631"/>
      <c r="G3" s="631"/>
      <c r="H3" s="631"/>
      <c r="I3" s="631"/>
    </row>
    <row r="4" spans="1:9" ht="15.75">
      <c r="A4" s="66"/>
      <c r="B4" s="66"/>
      <c r="C4" s="66"/>
      <c r="D4" s="66"/>
      <c r="E4" s="66"/>
      <c r="F4" s="66"/>
      <c r="G4" s="66"/>
      <c r="H4" s="66"/>
      <c r="I4" s="66"/>
    </row>
    <row r="5" ht="13.5" thickBot="1"/>
    <row r="6" spans="1:9" ht="24.75" customHeight="1">
      <c r="A6" s="636" t="s">
        <v>675</v>
      </c>
      <c r="B6" s="634" t="s">
        <v>676</v>
      </c>
      <c r="C6" s="632" t="s">
        <v>677</v>
      </c>
      <c r="D6" s="638" t="s">
        <v>697</v>
      </c>
      <c r="E6" s="125"/>
      <c r="F6" s="125"/>
      <c r="G6" s="630"/>
      <c r="H6" s="630"/>
      <c r="I6" s="630"/>
    </row>
    <row r="7" spans="1:9" ht="18.75" customHeight="1" thickBot="1">
      <c r="A7" s="637"/>
      <c r="B7" s="635"/>
      <c r="C7" s="633"/>
      <c r="D7" s="639"/>
      <c r="E7" s="125"/>
      <c r="F7" s="125"/>
      <c r="G7" s="630"/>
      <c r="H7" s="630"/>
      <c r="I7" s="630"/>
    </row>
    <row r="8" spans="1:6" ht="13.5" customHeight="1" thickBot="1">
      <c r="A8" s="67">
        <v>1</v>
      </c>
      <c r="B8" s="68">
        <v>2</v>
      </c>
      <c r="C8" s="69">
        <v>3</v>
      </c>
      <c r="D8" s="243">
        <v>5</v>
      </c>
      <c r="E8" s="242"/>
      <c r="F8" s="242"/>
    </row>
    <row r="9" spans="1:6" ht="18" customHeight="1" thickBot="1">
      <c r="A9" s="15" t="s">
        <v>679</v>
      </c>
      <c r="B9" s="70" t="s">
        <v>680</v>
      </c>
      <c r="C9" s="70"/>
      <c r="D9" s="246" t="e">
        <f>#REF!</f>
        <v>#REF!</v>
      </c>
      <c r="E9" s="41"/>
      <c r="F9" s="41"/>
    </row>
    <row r="10" spans="1:6" ht="18" customHeight="1" thickBot="1">
      <c r="A10" s="71" t="s">
        <v>681</v>
      </c>
      <c r="B10" s="72" t="s">
        <v>682</v>
      </c>
      <c r="C10" s="72"/>
      <c r="D10" s="78">
        <f>'Z 2'!K616</f>
        <v>32134762</v>
      </c>
      <c r="E10" s="41"/>
      <c r="F10" s="41"/>
    </row>
    <row r="11" spans="1:6" ht="12.75">
      <c r="A11" s="73"/>
      <c r="B11" s="52" t="s">
        <v>683</v>
      </c>
      <c r="C11" s="40"/>
      <c r="D11" s="308" t="e">
        <f>D9-D10</f>
        <v>#REF!</v>
      </c>
      <c r="E11" s="41"/>
      <c r="F11" s="41"/>
    </row>
    <row r="12" spans="1:6" ht="15.75" customHeight="1" thickBot="1">
      <c r="A12" s="74"/>
      <c r="B12" s="75" t="s">
        <v>684</v>
      </c>
      <c r="C12" s="75"/>
      <c r="D12" s="309">
        <f>D13-D22</f>
        <v>-2330</v>
      </c>
      <c r="E12" s="41"/>
      <c r="F12" s="41"/>
    </row>
    <row r="13" spans="1:6" ht="15.75" customHeight="1" thickBot="1">
      <c r="A13" s="71" t="s">
        <v>685</v>
      </c>
      <c r="B13" s="77" t="s">
        <v>686</v>
      </c>
      <c r="C13" s="78"/>
      <c r="D13" s="79">
        <f>D14+D15+D16+D17+D18+D19+D20+D21</f>
        <v>3458850</v>
      </c>
      <c r="E13" s="119"/>
      <c r="F13" s="119"/>
    </row>
    <row r="14" spans="1:6" ht="12.75">
      <c r="A14" s="80" t="s">
        <v>687</v>
      </c>
      <c r="B14" s="52" t="s">
        <v>196</v>
      </c>
      <c r="C14" s="73" t="s">
        <v>878</v>
      </c>
      <c r="D14" s="308">
        <v>3458850</v>
      </c>
      <c r="E14" s="41"/>
      <c r="F14" s="41"/>
    </row>
    <row r="15" spans="1:6" ht="16.5" customHeight="1">
      <c r="A15" s="81" t="s">
        <v>688</v>
      </c>
      <c r="B15" s="8" t="s">
        <v>689</v>
      </c>
      <c r="C15" s="3" t="s">
        <v>878</v>
      </c>
      <c r="D15" s="310">
        <v>0</v>
      </c>
      <c r="E15" s="41"/>
      <c r="F15" s="41"/>
    </row>
    <row r="16" spans="1:6" ht="37.5" customHeight="1">
      <c r="A16" s="81" t="s">
        <v>690</v>
      </c>
      <c r="B16" s="11" t="s">
        <v>10</v>
      </c>
      <c r="C16" s="3" t="s">
        <v>958</v>
      </c>
      <c r="D16" s="310">
        <v>0</v>
      </c>
      <c r="E16" s="41"/>
      <c r="F16" s="41"/>
    </row>
    <row r="17" spans="1:6" ht="16.5" customHeight="1">
      <c r="A17" s="81" t="s">
        <v>692</v>
      </c>
      <c r="B17" s="8" t="s">
        <v>691</v>
      </c>
      <c r="C17" s="3" t="s">
        <v>879</v>
      </c>
      <c r="D17" s="310">
        <v>0</v>
      </c>
      <c r="E17" s="41"/>
      <c r="F17" s="41"/>
    </row>
    <row r="18" spans="1:6" ht="18" customHeight="1">
      <c r="A18" s="81" t="s">
        <v>694</v>
      </c>
      <c r="B18" s="8" t="s">
        <v>693</v>
      </c>
      <c r="C18" s="3" t="s">
        <v>880</v>
      </c>
      <c r="D18" s="310">
        <v>0</v>
      </c>
      <c r="E18" s="41"/>
      <c r="F18" s="41"/>
    </row>
    <row r="19" spans="1:6" ht="18.75" customHeight="1">
      <c r="A19" s="81" t="s">
        <v>727</v>
      </c>
      <c r="B19" s="11" t="s">
        <v>710</v>
      </c>
      <c r="C19" s="3" t="s">
        <v>881</v>
      </c>
      <c r="D19" s="310">
        <v>0</v>
      </c>
      <c r="E19" s="41"/>
      <c r="F19" s="41"/>
    </row>
    <row r="20" spans="1:6" ht="18.75" customHeight="1">
      <c r="A20" s="81" t="s">
        <v>729</v>
      </c>
      <c r="B20" s="11" t="s">
        <v>711</v>
      </c>
      <c r="C20" s="3" t="s">
        <v>882</v>
      </c>
      <c r="D20" s="310">
        <v>0</v>
      </c>
      <c r="E20" s="41"/>
      <c r="F20" s="41"/>
    </row>
    <row r="21" spans="1:6" ht="13.5" thickBot="1">
      <c r="A21" s="82" t="s">
        <v>712</v>
      </c>
      <c r="B21" s="83" t="s">
        <v>713</v>
      </c>
      <c r="C21" s="47" t="s">
        <v>879</v>
      </c>
      <c r="D21" s="309">
        <v>0</v>
      </c>
      <c r="E21" s="41"/>
      <c r="F21" s="41"/>
    </row>
    <row r="22" spans="1:6" ht="15.75" customHeight="1" thickBot="1">
      <c r="A22" s="71" t="s">
        <v>714</v>
      </c>
      <c r="B22" s="84" t="s">
        <v>715</v>
      </c>
      <c r="C22" s="68"/>
      <c r="D22" s="79">
        <f>D23+D24+D25+D26+D27+D28+D29</f>
        <v>3461180</v>
      </c>
      <c r="E22" s="119"/>
      <c r="F22" s="119"/>
    </row>
    <row r="23" spans="1:6" ht="15.75" customHeight="1">
      <c r="A23" s="85" t="s">
        <v>687</v>
      </c>
      <c r="B23" s="86" t="s">
        <v>716</v>
      </c>
      <c r="C23" s="87" t="s">
        <v>883</v>
      </c>
      <c r="D23" s="311">
        <v>1537648</v>
      </c>
      <c r="E23" s="41"/>
      <c r="F23" s="41"/>
    </row>
    <row r="24" spans="1:6" ht="15.75" customHeight="1">
      <c r="A24" s="81" t="s">
        <v>688</v>
      </c>
      <c r="B24" s="8" t="s">
        <v>717</v>
      </c>
      <c r="C24" s="3" t="s">
        <v>884</v>
      </c>
      <c r="D24" s="310">
        <v>0</v>
      </c>
      <c r="E24" s="41"/>
      <c r="F24" s="41"/>
    </row>
    <row r="25" spans="1:6" ht="15.75" customHeight="1">
      <c r="A25" s="81" t="s">
        <v>690</v>
      </c>
      <c r="B25" s="8" t="s">
        <v>463</v>
      </c>
      <c r="C25" s="3" t="s">
        <v>883</v>
      </c>
      <c r="D25" s="310">
        <v>36000</v>
      </c>
      <c r="E25" s="41"/>
      <c r="F25" s="41"/>
    </row>
    <row r="26" spans="1:6" ht="39" customHeight="1">
      <c r="A26" s="81" t="s">
        <v>692</v>
      </c>
      <c r="B26" s="11" t="s">
        <v>931</v>
      </c>
      <c r="C26" s="3" t="s">
        <v>11</v>
      </c>
      <c r="D26" s="310">
        <v>1887532</v>
      </c>
      <c r="E26" s="41"/>
      <c r="F26" s="41"/>
    </row>
    <row r="27" spans="1:12" ht="15.75" customHeight="1">
      <c r="A27" s="81" t="s">
        <v>694</v>
      </c>
      <c r="B27" s="8" t="s">
        <v>718</v>
      </c>
      <c r="C27" s="3" t="s">
        <v>885</v>
      </c>
      <c r="D27" s="310">
        <v>0</v>
      </c>
      <c r="E27" s="41"/>
      <c r="F27" s="41"/>
      <c r="L27" s="41"/>
    </row>
    <row r="28" spans="1:6" ht="15.75" customHeight="1">
      <c r="A28" s="81" t="s">
        <v>727</v>
      </c>
      <c r="B28" s="8" t="s">
        <v>719</v>
      </c>
      <c r="C28" s="3" t="s">
        <v>886</v>
      </c>
      <c r="D28" s="310">
        <v>0</v>
      </c>
      <c r="E28" s="41"/>
      <c r="F28" s="41"/>
    </row>
    <row r="29" spans="1:6" ht="15.75" customHeight="1" thickBot="1">
      <c r="A29" s="45" t="s">
        <v>729</v>
      </c>
      <c r="B29" s="88" t="s">
        <v>720</v>
      </c>
      <c r="C29" s="89" t="s">
        <v>417</v>
      </c>
      <c r="D29" s="312">
        <v>0</v>
      </c>
      <c r="E29" s="41"/>
      <c r="F29" s="41"/>
    </row>
    <row r="30" spans="1:6" ht="24.75" customHeight="1">
      <c r="A30" s="258" t="s">
        <v>721</v>
      </c>
      <c r="B30" s="257" t="s">
        <v>418</v>
      </c>
      <c r="C30" s="259"/>
      <c r="D30" s="313">
        <f>D22</f>
        <v>3461180</v>
      </c>
      <c r="E30" s="41"/>
      <c r="F30" s="41"/>
    </row>
    <row r="31" spans="1:6" ht="24" customHeight="1">
      <c r="A31" s="82" t="s">
        <v>270</v>
      </c>
      <c r="B31" s="83" t="s">
        <v>274</v>
      </c>
      <c r="C31" s="47"/>
      <c r="D31" s="309" t="e">
        <f>D9-D30</f>
        <v>#REF!</v>
      </c>
      <c r="E31" s="41"/>
      <c r="F31" s="41"/>
    </row>
    <row r="32" spans="1:6" ht="24.75" customHeight="1">
      <c r="A32" s="82" t="s">
        <v>275</v>
      </c>
      <c r="B32" s="83" t="s">
        <v>276</v>
      </c>
      <c r="C32" s="47"/>
      <c r="D32" s="309" t="e">
        <f>D10-D31</f>
        <v>#REF!</v>
      </c>
      <c r="E32" s="41"/>
      <c r="F32" s="41"/>
    </row>
    <row r="33" spans="1:6" ht="40.5" customHeight="1" thickBot="1">
      <c r="A33" s="45" t="s">
        <v>169</v>
      </c>
      <c r="B33" s="260" t="s">
        <v>277</v>
      </c>
      <c r="C33" s="89"/>
      <c r="D33" s="312">
        <f>D13</f>
        <v>3458850</v>
      </c>
      <c r="E33" s="41"/>
      <c r="F33" s="41"/>
    </row>
    <row r="37" ht="30.75" customHeight="1">
      <c r="C37" t="s">
        <v>202</v>
      </c>
    </row>
  </sheetData>
  <mergeCells count="7">
    <mergeCell ref="C2:D2"/>
    <mergeCell ref="G6:I7"/>
    <mergeCell ref="A3:I3"/>
    <mergeCell ref="C6:C7"/>
    <mergeCell ref="B6:B7"/>
    <mergeCell ref="A6:A7"/>
    <mergeCell ref="D6:D7"/>
  </mergeCells>
  <printOptions/>
  <pageMargins left="0.5905511811023623" right="0.5905511811023623" top="0.3937007874015748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6">
      <selection activeCell="C10" sqref="C10"/>
    </sheetView>
  </sheetViews>
  <sheetFormatPr defaultColWidth="9.00390625" defaultRowHeight="12.75"/>
  <cols>
    <col min="1" max="1" width="3.375" style="0" customWidth="1"/>
    <col min="2" max="2" width="21.00390625" style="0" customWidth="1"/>
    <col min="3" max="3" width="17.875" style="0" customWidth="1"/>
    <col min="4" max="4" width="8.875" style="0" hidden="1" customWidth="1"/>
    <col min="5" max="5" width="16.125" style="0" customWidth="1"/>
    <col min="6" max="6" width="10.75390625" style="0" hidden="1" customWidth="1"/>
    <col min="7" max="7" width="16.125" style="0" customWidth="1"/>
    <col min="8" max="10" width="0.12890625" style="0" hidden="1" customWidth="1"/>
    <col min="11" max="11" width="16.25390625" style="0" customWidth="1"/>
    <col min="12" max="12" width="9.00390625" style="0" customWidth="1"/>
  </cols>
  <sheetData>
    <row r="1" spans="5:11" ht="12.75">
      <c r="E1" s="509"/>
      <c r="F1" s="509"/>
      <c r="G1" s="509"/>
      <c r="H1" s="509"/>
      <c r="I1" s="509"/>
      <c r="J1" s="509"/>
      <c r="K1" s="509"/>
    </row>
    <row r="2" spans="3:11" ht="34.5" customHeight="1">
      <c r="C2" s="640" t="s">
        <v>153</v>
      </c>
      <c r="D2" s="640"/>
      <c r="E2" s="640"/>
      <c r="F2" s="640"/>
      <c r="G2" s="640"/>
      <c r="H2" s="640"/>
      <c r="I2" s="640"/>
      <c r="J2" s="640"/>
      <c r="K2" s="640"/>
    </row>
    <row r="3" spans="3:11" ht="21" customHeight="1">
      <c r="C3" s="254"/>
      <c r="D3" s="254"/>
      <c r="E3" s="254"/>
      <c r="F3" s="254"/>
      <c r="G3" s="254"/>
      <c r="H3" s="254"/>
      <c r="I3" s="254"/>
      <c r="J3" s="254"/>
      <c r="K3" s="254"/>
    </row>
    <row r="4" spans="3:11" ht="24.75" customHeight="1">
      <c r="C4" s="650"/>
      <c r="D4" s="650"/>
      <c r="E4" s="650"/>
      <c r="F4" s="650"/>
      <c r="G4" s="650"/>
      <c r="H4" s="650"/>
      <c r="I4" s="650"/>
      <c r="J4" s="650"/>
      <c r="K4" s="650"/>
    </row>
    <row r="5" spans="1:11" ht="46.5" customHeight="1">
      <c r="A5" s="641" t="s">
        <v>6</v>
      </c>
      <c r="B5" s="641"/>
      <c r="C5" s="641"/>
      <c r="D5" s="641"/>
      <c r="E5" s="641"/>
      <c r="F5" s="641"/>
      <c r="G5" s="641"/>
      <c r="H5" s="641"/>
      <c r="I5" s="641"/>
      <c r="J5" s="641"/>
      <c r="K5" s="641"/>
    </row>
    <row r="6" spans="1:11" ht="12.7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</row>
    <row r="7" spans="1:11" ht="39" customHeight="1">
      <c r="A7" s="595" t="s">
        <v>65</v>
      </c>
      <c r="B7" s="595" t="s">
        <v>56</v>
      </c>
      <c r="C7" s="646" t="s">
        <v>220</v>
      </c>
      <c r="D7" s="647"/>
      <c r="E7" s="642" t="s">
        <v>664</v>
      </c>
      <c r="F7" s="643"/>
      <c r="G7" s="646" t="s">
        <v>221</v>
      </c>
      <c r="H7" s="647"/>
      <c r="I7" s="155"/>
      <c r="J7" s="155"/>
      <c r="K7" s="598" t="s">
        <v>222</v>
      </c>
    </row>
    <row r="8" spans="1:11" ht="37.5" customHeight="1">
      <c r="A8" s="597"/>
      <c r="B8" s="597"/>
      <c r="C8" s="648"/>
      <c r="D8" s="649"/>
      <c r="E8" s="644"/>
      <c r="F8" s="645"/>
      <c r="G8" s="648"/>
      <c r="H8" s="649"/>
      <c r="I8" s="157"/>
      <c r="J8" s="157"/>
      <c r="K8" s="598"/>
    </row>
    <row r="9" spans="1:11" ht="14.25" customHeight="1">
      <c r="A9" s="153">
        <v>1</v>
      </c>
      <c r="B9" s="153">
        <v>2</v>
      </c>
      <c r="C9" s="156">
        <v>3</v>
      </c>
      <c r="D9" s="157"/>
      <c r="E9" s="158">
        <v>4</v>
      </c>
      <c r="F9" s="159"/>
      <c r="G9" s="2">
        <v>7</v>
      </c>
      <c r="H9" s="2"/>
      <c r="I9" s="2"/>
      <c r="J9" s="2"/>
      <c r="K9" s="100">
        <v>10</v>
      </c>
    </row>
    <row r="10" spans="1:11" ht="38.25">
      <c r="A10" s="7" t="s">
        <v>679</v>
      </c>
      <c r="B10" s="4" t="s">
        <v>7</v>
      </c>
      <c r="C10" s="7">
        <f>C12+C15+C17+C19+C24</f>
        <v>85343</v>
      </c>
      <c r="D10" s="7">
        <f>D11+D12+D13+D14+D15+D16+D17+D18+D19+D20+D21+D22+D23</f>
        <v>18301</v>
      </c>
      <c r="E10" s="7">
        <f>E12+E15+E17+E19+E24</f>
        <v>240020</v>
      </c>
      <c r="F10" s="7">
        <f>F11+F12+F13+F14+F15+F16+F17+F18+F19+F20+F21+F22+F23</f>
        <v>419470</v>
      </c>
      <c r="G10" s="7">
        <f>G12+G15+G17+G19+G24</f>
        <v>318735</v>
      </c>
      <c r="H10" s="7">
        <f>H11+H12+H13+H14+H15+H16+H17+H18+H19+H20+H21+H22+H23</f>
        <v>424812</v>
      </c>
      <c r="I10" s="7"/>
      <c r="J10" s="7"/>
      <c r="K10" s="7">
        <f>K12+K15+K17+K19+K24</f>
        <v>6628</v>
      </c>
    </row>
    <row r="11" spans="1:11" ht="25.5" hidden="1">
      <c r="A11" s="8" t="s">
        <v>687</v>
      </c>
      <c r="B11" s="11" t="s">
        <v>191</v>
      </c>
      <c r="C11" s="8">
        <v>0</v>
      </c>
      <c r="D11" s="8">
        <v>5558</v>
      </c>
      <c r="E11" s="8">
        <v>0</v>
      </c>
      <c r="F11" s="8">
        <v>182220</v>
      </c>
      <c r="G11" s="8">
        <v>0</v>
      </c>
      <c r="H11" s="8">
        <v>181928</v>
      </c>
      <c r="I11" s="8"/>
      <c r="J11" s="8"/>
      <c r="K11" s="8">
        <f>C11+E11-G11</f>
        <v>0</v>
      </c>
    </row>
    <row r="12" spans="1:11" ht="29.25" customHeight="1">
      <c r="A12" s="8" t="s">
        <v>687</v>
      </c>
      <c r="B12" s="11" t="s">
        <v>826</v>
      </c>
      <c r="C12" s="8">
        <v>5000</v>
      </c>
      <c r="D12" s="8">
        <v>2200</v>
      </c>
      <c r="E12" s="8">
        <v>97000</v>
      </c>
      <c r="F12" s="8">
        <v>99450</v>
      </c>
      <c r="G12" s="8">
        <v>102000</v>
      </c>
      <c r="H12" s="8">
        <v>100550</v>
      </c>
      <c r="I12" s="8"/>
      <c r="J12" s="8"/>
      <c r="K12" s="8">
        <f>C12+E12-G12</f>
        <v>0</v>
      </c>
    </row>
    <row r="13" spans="1:11" ht="25.5" hidden="1">
      <c r="A13" s="8" t="s">
        <v>690</v>
      </c>
      <c r="B13" s="11" t="s">
        <v>66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/>
      <c r="J13" s="8"/>
      <c r="K13" s="8">
        <v>0</v>
      </c>
    </row>
    <row r="14" spans="1:11" ht="25.5" hidden="1">
      <c r="A14" s="8" t="s">
        <v>692</v>
      </c>
      <c r="B14" s="11" t="s">
        <v>69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/>
      <c r="J14" s="8"/>
      <c r="K14" s="8">
        <v>0</v>
      </c>
    </row>
    <row r="15" spans="1:11" ht="35.25" customHeight="1">
      <c r="A15" s="8">
        <v>2</v>
      </c>
      <c r="B15" s="11" t="s">
        <v>155</v>
      </c>
      <c r="C15" s="8">
        <v>5428</v>
      </c>
      <c r="D15" s="8">
        <v>6009</v>
      </c>
      <c r="E15" s="8">
        <v>95020</v>
      </c>
      <c r="F15" s="8">
        <v>101000</v>
      </c>
      <c r="G15" s="8">
        <v>95020</v>
      </c>
      <c r="H15" s="8">
        <v>101000</v>
      </c>
      <c r="I15" s="8"/>
      <c r="J15" s="8"/>
      <c r="K15" s="8">
        <f>C15+E15-G15</f>
        <v>5428</v>
      </c>
    </row>
    <row r="16" spans="1:11" ht="25.5" hidden="1">
      <c r="A16" s="8" t="s">
        <v>727</v>
      </c>
      <c r="B16" s="11" t="s">
        <v>70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/>
      <c r="J16" s="8"/>
      <c r="K16" s="8">
        <v>0</v>
      </c>
    </row>
    <row r="17" spans="1:11" ht="51.75" customHeight="1">
      <c r="A17" s="8">
        <v>3</v>
      </c>
      <c r="B17" s="11" t="s">
        <v>154</v>
      </c>
      <c r="C17" s="8">
        <v>5200</v>
      </c>
      <c r="D17" s="8">
        <v>0</v>
      </c>
      <c r="E17" s="8">
        <v>16000</v>
      </c>
      <c r="F17" s="8">
        <v>8100</v>
      </c>
      <c r="G17" s="8">
        <v>20000</v>
      </c>
      <c r="H17" s="8">
        <v>8100</v>
      </c>
      <c r="I17" s="8"/>
      <c r="J17" s="8"/>
      <c r="K17" s="8">
        <f>C17+E17-G17</f>
        <v>1200</v>
      </c>
    </row>
    <row r="18" spans="1:11" ht="12.75" hidden="1">
      <c r="A18" s="8" t="s">
        <v>712</v>
      </c>
      <c r="B18" s="11" t="s">
        <v>71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/>
      <c r="J18" s="8"/>
      <c r="K18" s="8">
        <v>0</v>
      </c>
    </row>
    <row r="19" spans="1:11" ht="27" customHeight="1">
      <c r="A19" s="8">
        <v>4</v>
      </c>
      <c r="B19" s="11" t="s">
        <v>72</v>
      </c>
      <c r="C19" s="8">
        <v>4715</v>
      </c>
      <c r="D19" s="8">
        <v>4534</v>
      </c>
      <c r="E19" s="8">
        <v>2000</v>
      </c>
      <c r="F19" s="8">
        <v>5200</v>
      </c>
      <c r="G19" s="8">
        <v>6715</v>
      </c>
      <c r="H19" s="8">
        <v>9734</v>
      </c>
      <c r="I19" s="8"/>
      <c r="J19" s="8"/>
      <c r="K19" s="8">
        <f>C19+E19-G19</f>
        <v>0</v>
      </c>
    </row>
    <row r="20" spans="1:11" ht="27" customHeight="1" hidden="1">
      <c r="A20" s="8" t="s">
        <v>827</v>
      </c>
      <c r="B20" s="11" t="s">
        <v>73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/>
      <c r="J20" s="8"/>
      <c r="K20" s="8">
        <v>0</v>
      </c>
    </row>
    <row r="21" spans="1:11" ht="25.5" hidden="1">
      <c r="A21" s="8" t="s">
        <v>727</v>
      </c>
      <c r="B21" s="11" t="s">
        <v>828</v>
      </c>
      <c r="C21" s="8">
        <v>0</v>
      </c>
      <c r="D21" s="8">
        <v>0</v>
      </c>
      <c r="E21" s="8">
        <v>15000</v>
      </c>
      <c r="F21" s="8">
        <v>23500</v>
      </c>
      <c r="G21" s="8">
        <v>15000</v>
      </c>
      <c r="H21" s="8">
        <v>23500</v>
      </c>
      <c r="I21" s="8"/>
      <c r="J21" s="8"/>
      <c r="K21" s="8">
        <f>C21+E21-G21</f>
        <v>0</v>
      </c>
    </row>
    <row r="22" spans="1:11" ht="25.5" hidden="1">
      <c r="A22" s="8" t="s">
        <v>829</v>
      </c>
      <c r="B22" s="11" t="s">
        <v>74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/>
      <c r="J22" s="8"/>
      <c r="K22" s="8">
        <v>0</v>
      </c>
    </row>
    <row r="23" spans="1:11" ht="26.25" customHeight="1" hidden="1">
      <c r="A23" s="8" t="s">
        <v>729</v>
      </c>
      <c r="B23" s="11" t="s">
        <v>75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/>
      <c r="J23" s="8"/>
      <c r="K23" s="8">
        <f>E23-G23</f>
        <v>0</v>
      </c>
    </row>
    <row r="24" spans="1:11" ht="35.25" customHeight="1">
      <c r="A24" s="8">
        <v>5</v>
      </c>
      <c r="B24" s="11" t="s">
        <v>828</v>
      </c>
      <c r="C24" s="8">
        <v>65000</v>
      </c>
      <c r="D24" s="8"/>
      <c r="E24" s="8">
        <v>30000</v>
      </c>
      <c r="F24" s="8"/>
      <c r="G24" s="8">
        <v>95000</v>
      </c>
      <c r="H24" s="8"/>
      <c r="I24" s="8"/>
      <c r="J24" s="8"/>
      <c r="K24" s="8">
        <f>C24+E24-G24</f>
        <v>0</v>
      </c>
    </row>
    <row r="27" ht="12.75">
      <c r="E27" t="s">
        <v>202</v>
      </c>
    </row>
  </sheetData>
  <mergeCells count="10">
    <mergeCell ref="E1:K1"/>
    <mergeCell ref="K7:K8"/>
    <mergeCell ref="B7:B8"/>
    <mergeCell ref="C2:K2"/>
    <mergeCell ref="A5:K5"/>
    <mergeCell ref="A7:A8"/>
    <mergeCell ref="E7:F8"/>
    <mergeCell ref="G7:H8"/>
    <mergeCell ref="C7:D8"/>
    <mergeCell ref="C4:K4"/>
  </mergeCells>
  <printOptions/>
  <pageMargins left="0.5905511811023623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1">
      <selection activeCell="E2" sqref="E2"/>
    </sheetView>
  </sheetViews>
  <sheetFormatPr defaultColWidth="9.00390625" defaultRowHeight="12.75"/>
  <cols>
    <col min="1" max="1" width="4.625" style="0" customWidth="1"/>
    <col min="2" max="2" width="51.625" style="0" customWidth="1"/>
    <col min="3" max="3" width="27.625" style="0" customWidth="1"/>
  </cols>
  <sheetData>
    <row r="1" ht="18.75" customHeight="1">
      <c r="C1" s="651" t="s">
        <v>156</v>
      </c>
    </row>
    <row r="2" ht="57.75" customHeight="1">
      <c r="C2" s="651"/>
    </row>
    <row r="3" spans="1:3" ht="39.75" customHeight="1">
      <c r="A3" s="652" t="s">
        <v>91</v>
      </c>
      <c r="B3" s="652"/>
      <c r="C3" s="652"/>
    </row>
    <row r="4" spans="1:3" ht="15.75">
      <c r="A4" s="143"/>
      <c r="B4" s="143"/>
      <c r="C4" s="1"/>
    </row>
    <row r="5" ht="13.5" thickBot="1">
      <c r="C5" s="42"/>
    </row>
    <row r="6" spans="1:3" ht="13.5" thickBot="1">
      <c r="A6" s="64" t="s">
        <v>675</v>
      </c>
      <c r="B6" s="144" t="s">
        <v>56</v>
      </c>
      <c r="C6" s="160" t="s">
        <v>951</v>
      </c>
    </row>
    <row r="7" spans="1:3" ht="13.5" thickBot="1">
      <c r="A7" s="64" t="s">
        <v>679</v>
      </c>
      <c r="B7" s="145" t="s">
        <v>57</v>
      </c>
      <c r="C7" s="161">
        <f>C8+C9-C10</f>
        <v>46611</v>
      </c>
    </row>
    <row r="8" spans="1:3" ht="12.75">
      <c r="A8" s="146" t="s">
        <v>687</v>
      </c>
      <c r="B8" s="147" t="s">
        <v>58</v>
      </c>
      <c r="C8" s="40">
        <v>46611</v>
      </c>
    </row>
    <row r="9" spans="1:3" ht="12.75">
      <c r="A9" s="95" t="s">
        <v>688</v>
      </c>
      <c r="B9" s="148" t="s">
        <v>59</v>
      </c>
      <c r="C9" s="8">
        <v>0</v>
      </c>
    </row>
    <row r="10" spans="1:3" ht="12.75">
      <c r="A10" s="95" t="s">
        <v>690</v>
      </c>
      <c r="B10" s="148" t="s">
        <v>60</v>
      </c>
      <c r="C10" s="8">
        <v>0</v>
      </c>
    </row>
    <row r="11" spans="1:3" ht="13.5" thickBot="1">
      <c r="A11" s="99" t="s">
        <v>692</v>
      </c>
      <c r="B11" s="149" t="s">
        <v>61</v>
      </c>
      <c r="C11" s="76">
        <v>0</v>
      </c>
    </row>
    <row r="12" spans="1:3" ht="13.5" thickBot="1">
      <c r="A12" s="64" t="s">
        <v>681</v>
      </c>
      <c r="B12" s="145" t="s">
        <v>62</v>
      </c>
      <c r="C12" s="161">
        <f>C13+C14</f>
        <v>60000</v>
      </c>
    </row>
    <row r="13" spans="1:3" ht="13.5" thickBot="1">
      <c r="A13" s="162" t="s">
        <v>687</v>
      </c>
      <c r="B13" s="41" t="s">
        <v>87</v>
      </c>
      <c r="C13" s="39">
        <v>60000</v>
      </c>
    </row>
    <row r="14" spans="1:3" ht="27" customHeight="1" thickBot="1">
      <c r="A14" s="230" t="s">
        <v>688</v>
      </c>
      <c r="B14" s="231" t="s">
        <v>88</v>
      </c>
      <c r="C14" s="232">
        <v>0</v>
      </c>
    </row>
    <row r="15" spans="1:3" ht="13.5" thickBot="1">
      <c r="A15" s="64" t="s">
        <v>685</v>
      </c>
      <c r="B15" s="145" t="s">
        <v>595</v>
      </c>
      <c r="C15" s="79">
        <f>C16+C22</f>
        <v>88000</v>
      </c>
    </row>
    <row r="16" spans="1:3" ht="12.75">
      <c r="A16" s="150" t="s">
        <v>687</v>
      </c>
      <c r="B16" s="103" t="s">
        <v>63</v>
      </c>
      <c r="C16" s="50">
        <f>C17+C18+C21+C20+C19</f>
        <v>38000</v>
      </c>
    </row>
    <row r="17" spans="1:3" ht="24.75" customHeight="1">
      <c r="A17" s="95"/>
      <c r="B17" s="96" t="s">
        <v>92</v>
      </c>
      <c r="C17" s="8">
        <v>15000</v>
      </c>
    </row>
    <row r="18" spans="1:3" ht="24.75" customHeight="1">
      <c r="A18" s="95"/>
      <c r="B18" s="96" t="s">
        <v>908</v>
      </c>
      <c r="C18" s="8">
        <v>0</v>
      </c>
    </row>
    <row r="19" spans="1:3" ht="36" customHeight="1">
      <c r="A19" s="95"/>
      <c r="B19" s="96" t="s">
        <v>25</v>
      </c>
      <c r="C19" s="8">
        <v>5000</v>
      </c>
    </row>
    <row r="20" spans="1:3" ht="16.5" customHeight="1">
      <c r="A20" s="95"/>
      <c r="B20" s="96" t="s">
        <v>94</v>
      </c>
      <c r="C20" s="8">
        <v>10000</v>
      </c>
    </row>
    <row r="21" spans="1:3" ht="17.25" customHeight="1">
      <c r="A21" s="95"/>
      <c r="B21" s="96" t="s">
        <v>163</v>
      </c>
      <c r="C21" s="8">
        <v>8000</v>
      </c>
    </row>
    <row r="22" spans="1:3" ht="12.75">
      <c r="A22" s="105" t="s">
        <v>688</v>
      </c>
      <c r="B22" s="163" t="s">
        <v>93</v>
      </c>
      <c r="C22" s="7">
        <f>C23+C24</f>
        <v>50000</v>
      </c>
    </row>
    <row r="23" spans="1:3" ht="12.75">
      <c r="A23" s="164"/>
      <c r="B23" s="165" t="s">
        <v>183</v>
      </c>
      <c r="C23" s="118">
        <v>10000</v>
      </c>
    </row>
    <row r="24" spans="1:3" ht="13.5" thickBot="1">
      <c r="A24" s="164"/>
      <c r="B24" s="165" t="s">
        <v>89</v>
      </c>
      <c r="C24" s="118">
        <v>40000</v>
      </c>
    </row>
    <row r="25" spans="1:3" ht="13.5" thickBot="1">
      <c r="A25" s="64" t="s">
        <v>912</v>
      </c>
      <c r="B25" s="145" t="s">
        <v>64</v>
      </c>
      <c r="C25" s="161">
        <f>C7+C12-C15</f>
        <v>18611</v>
      </c>
    </row>
    <row r="26" spans="1:3" ht="12.75">
      <c r="A26" s="93" t="s">
        <v>687</v>
      </c>
      <c r="B26" s="151" t="s">
        <v>58</v>
      </c>
      <c r="C26" s="166">
        <f>C25</f>
        <v>18611</v>
      </c>
    </row>
    <row r="27" spans="1:3" ht="12.75">
      <c r="A27" s="95" t="s">
        <v>688</v>
      </c>
      <c r="B27" s="148" t="s">
        <v>59</v>
      </c>
      <c r="C27" s="195">
        <v>0</v>
      </c>
    </row>
    <row r="28" spans="1:3" ht="13.5" thickBot="1">
      <c r="A28" s="44" t="s">
        <v>690</v>
      </c>
      <c r="B28" s="152" t="s">
        <v>60</v>
      </c>
      <c r="C28" s="196">
        <v>0</v>
      </c>
    </row>
    <row r="29" ht="33.75" customHeight="1"/>
    <row r="30" spans="2:3" ht="12.75">
      <c r="B30" s="549" t="s">
        <v>349</v>
      </c>
      <c r="C30" s="549"/>
    </row>
  </sheetData>
  <mergeCells count="3">
    <mergeCell ref="C1:C2"/>
    <mergeCell ref="A3:C3"/>
    <mergeCell ref="B30:C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77"/>
  <sheetViews>
    <sheetView workbookViewId="0" topLeftCell="A1">
      <selection activeCell="E1" sqref="E1"/>
    </sheetView>
  </sheetViews>
  <sheetFormatPr defaultColWidth="9.00390625" defaultRowHeight="12.75"/>
  <cols>
    <col min="1" max="1" width="5.125" style="0" customWidth="1"/>
    <col min="2" max="2" width="51.875" style="0" customWidth="1"/>
    <col min="3" max="3" width="23.875" style="0" customWidth="1"/>
  </cols>
  <sheetData>
    <row r="1" ht="40.5" customHeight="1">
      <c r="C1" s="654" t="s">
        <v>157</v>
      </c>
    </row>
    <row r="2" ht="12.75">
      <c r="C2" s="654"/>
    </row>
    <row r="3" ht="12.75">
      <c r="C3" s="654"/>
    </row>
    <row r="4" spans="1:3" ht="33.75" customHeight="1">
      <c r="A4" s="652" t="s">
        <v>149</v>
      </c>
      <c r="B4" s="652"/>
      <c r="C4" s="652"/>
    </row>
    <row r="5" spans="1:2" ht="14.25" customHeight="1">
      <c r="A5" s="143"/>
      <c r="B5" s="143"/>
    </row>
    <row r="6" ht="13.5" thickBot="1">
      <c r="C6" s="168" t="s">
        <v>150</v>
      </c>
    </row>
    <row r="7" spans="1:3" ht="23.25" customHeight="1" thickBot="1">
      <c r="A7" s="71" t="s">
        <v>675</v>
      </c>
      <c r="B7" s="171" t="s">
        <v>56</v>
      </c>
      <c r="C7" s="190" t="s">
        <v>697</v>
      </c>
    </row>
    <row r="8" spans="1:3" ht="16.5" customHeight="1">
      <c r="A8" s="429" t="s">
        <v>679</v>
      </c>
      <c r="B8" s="50" t="s">
        <v>57</v>
      </c>
      <c r="C8" s="50">
        <f>C9+C10-C11</f>
        <v>41054</v>
      </c>
    </row>
    <row r="9" spans="1:3" ht="15.75" customHeight="1">
      <c r="A9" s="93" t="s">
        <v>687</v>
      </c>
      <c r="B9" s="151" t="s">
        <v>58</v>
      </c>
      <c r="C9" s="40">
        <v>40054</v>
      </c>
    </row>
    <row r="10" spans="1:3" ht="18.75" customHeight="1">
      <c r="A10" s="95" t="s">
        <v>688</v>
      </c>
      <c r="B10" s="148" t="s">
        <v>59</v>
      </c>
      <c r="C10" s="8">
        <v>10000</v>
      </c>
    </row>
    <row r="11" spans="1:3" ht="17.25" customHeight="1">
      <c r="A11" s="95" t="s">
        <v>690</v>
      </c>
      <c r="B11" s="148" t="s">
        <v>60</v>
      </c>
      <c r="C11" s="8">
        <v>9000</v>
      </c>
    </row>
    <row r="12" spans="1:3" ht="16.5" customHeight="1" thickBot="1">
      <c r="A12" s="99" t="s">
        <v>692</v>
      </c>
      <c r="B12" s="149" t="s">
        <v>61</v>
      </c>
      <c r="C12" s="76">
        <v>0</v>
      </c>
    </row>
    <row r="13" spans="1:3" ht="20.25" customHeight="1" thickBot="1">
      <c r="A13" s="64" t="s">
        <v>681</v>
      </c>
      <c r="B13" s="145" t="s">
        <v>62</v>
      </c>
      <c r="C13" s="84">
        <f>C14+C15</f>
        <v>150000</v>
      </c>
    </row>
    <row r="14" spans="1:3" ht="16.5" customHeight="1">
      <c r="A14" s="93" t="s">
        <v>687</v>
      </c>
      <c r="B14" s="94" t="s">
        <v>85</v>
      </c>
      <c r="C14" s="40">
        <v>150000</v>
      </c>
    </row>
    <row r="15" spans="1:3" ht="16.5" customHeight="1" thickBot="1">
      <c r="A15" s="95">
        <v>2</v>
      </c>
      <c r="B15" s="97" t="s">
        <v>86</v>
      </c>
      <c r="C15" s="8"/>
    </row>
    <row r="16" spans="1:3" ht="18" customHeight="1" thickBot="1">
      <c r="A16" s="64" t="s">
        <v>685</v>
      </c>
      <c r="B16" s="145" t="s">
        <v>595</v>
      </c>
      <c r="C16" s="84">
        <f>C17+C25</f>
        <v>171054</v>
      </c>
    </row>
    <row r="17" spans="1:3" ht="17.25" customHeight="1">
      <c r="A17" s="150" t="s">
        <v>687</v>
      </c>
      <c r="B17" s="103" t="s">
        <v>63</v>
      </c>
      <c r="C17" s="50">
        <f>C18+C21+C22+C23+C24</f>
        <v>151054</v>
      </c>
    </row>
    <row r="18" spans="1:3" ht="17.25" customHeight="1">
      <c r="A18" s="95"/>
      <c r="B18" s="97" t="s">
        <v>151</v>
      </c>
      <c r="C18" s="8">
        <f>C19+C20</f>
        <v>30000</v>
      </c>
    </row>
    <row r="19" spans="1:3" ht="17.25" customHeight="1">
      <c r="A19" s="95"/>
      <c r="B19" s="148" t="s">
        <v>952</v>
      </c>
      <c r="C19" s="8">
        <v>15000</v>
      </c>
    </row>
    <row r="20" spans="1:3" ht="17.25" customHeight="1">
      <c r="A20" s="95"/>
      <c r="B20" s="148" t="s">
        <v>953</v>
      </c>
      <c r="C20" s="8">
        <v>15000</v>
      </c>
    </row>
    <row r="21" spans="1:3" ht="17.25" customHeight="1">
      <c r="A21" s="95"/>
      <c r="B21" s="97" t="s">
        <v>161</v>
      </c>
      <c r="C21" s="8">
        <v>50000</v>
      </c>
    </row>
    <row r="22" spans="1:3" ht="16.5" customHeight="1">
      <c r="A22" s="95"/>
      <c r="B22" s="97" t="s">
        <v>162</v>
      </c>
      <c r="C22" s="8">
        <v>0</v>
      </c>
    </row>
    <row r="23" spans="1:3" ht="19.5" customHeight="1">
      <c r="A23" s="95"/>
      <c r="B23" s="96" t="s">
        <v>163</v>
      </c>
      <c r="C23" s="8">
        <v>71054</v>
      </c>
    </row>
    <row r="24" spans="1:3" ht="18" customHeight="1">
      <c r="A24" s="95"/>
      <c r="B24" s="97" t="s">
        <v>164</v>
      </c>
      <c r="C24" s="8">
        <v>0</v>
      </c>
    </row>
    <row r="25" spans="1:3" ht="15.75" customHeight="1">
      <c r="A25" s="176" t="s">
        <v>688</v>
      </c>
      <c r="B25" s="177" t="s">
        <v>165</v>
      </c>
      <c r="C25" s="7">
        <f>C26</f>
        <v>20000</v>
      </c>
    </row>
    <row r="26" spans="1:3" ht="12.75">
      <c r="A26" s="99"/>
      <c r="B26" s="178" t="s">
        <v>166</v>
      </c>
      <c r="C26" s="76">
        <v>20000</v>
      </c>
    </row>
    <row r="27" spans="1:3" ht="16.5" customHeight="1">
      <c r="A27" s="16" t="s">
        <v>714</v>
      </c>
      <c r="B27" s="7" t="s">
        <v>64</v>
      </c>
      <c r="C27" s="7">
        <f>C28+C29-C30</f>
        <v>20000</v>
      </c>
    </row>
    <row r="28" spans="1:3" ht="15.75" customHeight="1">
      <c r="A28" s="93" t="s">
        <v>687</v>
      </c>
      <c r="B28" s="151" t="s">
        <v>58</v>
      </c>
      <c r="C28" s="179">
        <v>19000</v>
      </c>
    </row>
    <row r="29" spans="1:3" ht="15" customHeight="1">
      <c r="A29" s="95" t="s">
        <v>688</v>
      </c>
      <c r="B29" s="148" t="s">
        <v>59</v>
      </c>
      <c r="C29" s="180">
        <v>2000</v>
      </c>
    </row>
    <row r="30" spans="1:3" ht="15" customHeight="1" thickBot="1">
      <c r="A30" s="44" t="s">
        <v>690</v>
      </c>
      <c r="B30" s="152" t="s">
        <v>60</v>
      </c>
      <c r="C30" s="181">
        <v>1000</v>
      </c>
    </row>
    <row r="33" spans="2:3" ht="12.75">
      <c r="B33" s="549" t="s">
        <v>350</v>
      </c>
      <c r="C33" s="549"/>
    </row>
    <row r="38" spans="1:3" ht="12.75">
      <c r="A38" s="41"/>
      <c r="B38" s="41"/>
      <c r="C38" s="655"/>
    </row>
    <row r="39" spans="1:3" ht="12" customHeight="1">
      <c r="A39" s="41"/>
      <c r="B39" s="41"/>
      <c r="C39" s="655"/>
    </row>
    <row r="40" spans="1:3" ht="14.25" customHeight="1">
      <c r="A40" s="653"/>
      <c r="B40" s="653"/>
      <c r="C40" s="41"/>
    </row>
    <row r="41" spans="1:3" ht="15.75">
      <c r="A41" s="183"/>
      <c r="B41" s="183"/>
      <c r="C41" s="182"/>
    </row>
    <row r="42" spans="1:3" ht="12.75">
      <c r="A42" s="41"/>
      <c r="B42" s="41"/>
      <c r="C42" s="184"/>
    </row>
    <row r="43" spans="1:3" ht="12.75">
      <c r="A43" s="125"/>
      <c r="B43" s="125"/>
      <c r="C43" s="175"/>
    </row>
    <row r="44" spans="1:3" ht="12.75">
      <c r="A44" s="125"/>
      <c r="B44" s="119"/>
      <c r="C44" s="119"/>
    </row>
    <row r="45" spans="1:3" ht="12.75">
      <c r="A45" s="154"/>
      <c r="B45" s="185"/>
      <c r="C45" s="41"/>
    </row>
    <row r="46" spans="1:3" ht="12.75">
      <c r="A46" s="154"/>
      <c r="B46" s="185"/>
      <c r="C46" s="41"/>
    </row>
    <row r="47" spans="1:3" ht="12.75">
      <c r="A47" s="154"/>
      <c r="B47" s="185"/>
      <c r="C47" s="41"/>
    </row>
    <row r="48" spans="1:3" ht="12.75">
      <c r="A48" s="154"/>
      <c r="B48" s="185"/>
      <c r="C48" s="41"/>
    </row>
    <row r="49" spans="1:3" ht="12.75">
      <c r="A49" s="125"/>
      <c r="B49" s="119"/>
      <c r="C49" s="119"/>
    </row>
    <row r="50" spans="1:3" ht="12.75">
      <c r="A50" s="154"/>
      <c r="B50" s="41"/>
      <c r="C50" s="41"/>
    </row>
    <row r="51" spans="1:3" ht="12.75">
      <c r="A51" s="125"/>
      <c r="B51" s="119"/>
      <c r="C51" s="119"/>
    </row>
    <row r="52" spans="1:3" ht="12.75">
      <c r="A52" s="125"/>
      <c r="B52" s="119"/>
      <c r="C52" s="119"/>
    </row>
    <row r="53" spans="1:3" ht="12.75">
      <c r="A53" s="154"/>
      <c r="B53" s="184"/>
      <c r="C53" s="41"/>
    </row>
    <row r="54" spans="1:3" ht="12.75">
      <c r="A54" s="154"/>
      <c r="B54" s="184"/>
      <c r="C54" s="41"/>
    </row>
    <row r="55" spans="1:3" ht="12.75">
      <c r="A55" s="186"/>
      <c r="B55" s="119"/>
      <c r="C55" s="119"/>
    </row>
    <row r="56" spans="1:3" ht="12.75">
      <c r="A56" s="154"/>
      <c r="B56" s="184"/>
      <c r="C56" s="41"/>
    </row>
    <row r="57" spans="1:3" ht="12.75">
      <c r="A57" s="125"/>
      <c r="B57" s="119"/>
      <c r="C57" s="119"/>
    </row>
    <row r="58" spans="1:3" ht="12.75">
      <c r="A58" s="154"/>
      <c r="B58" s="185"/>
      <c r="C58" s="41"/>
    </row>
    <row r="59" spans="1:3" ht="12.75">
      <c r="A59" s="154"/>
      <c r="B59" s="185"/>
      <c r="C59" s="120"/>
    </row>
    <row r="60" spans="1:3" ht="12.75">
      <c r="A60" s="154"/>
      <c r="B60" s="185"/>
      <c r="C60" s="120"/>
    </row>
    <row r="61" spans="1:3" ht="12.75">
      <c r="A61" s="41"/>
      <c r="B61" s="41"/>
      <c r="C61" s="41"/>
    </row>
    <row r="62" spans="1:3" ht="12.75">
      <c r="A62" s="41"/>
      <c r="B62" s="41"/>
      <c r="C62" s="41"/>
    </row>
    <row r="63" spans="1:3" ht="12.75">
      <c r="A63" s="41"/>
      <c r="B63" s="41"/>
      <c r="C63" s="41"/>
    </row>
    <row r="64" spans="1:3" ht="12.75">
      <c r="A64" s="41"/>
      <c r="B64" s="41"/>
      <c r="C64" s="41"/>
    </row>
    <row r="65" spans="1:3" ht="12.75">
      <c r="A65" s="41"/>
      <c r="B65" s="41"/>
      <c r="C65" s="41"/>
    </row>
    <row r="66" spans="1:3" ht="12.75">
      <c r="A66" s="41"/>
      <c r="B66" s="41"/>
      <c r="C66" s="41"/>
    </row>
    <row r="67" spans="1:3" ht="12.75">
      <c r="A67" s="41"/>
      <c r="B67" s="41"/>
      <c r="C67" s="41"/>
    </row>
    <row r="68" spans="1:3" ht="12.75">
      <c r="A68" s="41"/>
      <c r="B68" s="41"/>
      <c r="C68" s="41"/>
    </row>
    <row r="69" spans="1:3" ht="12.75">
      <c r="A69" s="41"/>
      <c r="B69" s="41"/>
      <c r="C69" s="41"/>
    </row>
    <row r="70" spans="1:3" ht="12.75">
      <c r="A70" s="41"/>
      <c r="B70" s="41"/>
      <c r="C70" s="41"/>
    </row>
    <row r="71" spans="1:3" ht="12.75">
      <c r="A71" s="41"/>
      <c r="B71" s="41"/>
      <c r="C71" s="41"/>
    </row>
    <row r="72" spans="1:3" ht="12.75">
      <c r="A72" s="41"/>
      <c r="B72" s="41"/>
      <c r="C72" s="41"/>
    </row>
    <row r="73" spans="1:3" ht="12.75">
      <c r="A73" s="41"/>
      <c r="B73" s="41"/>
      <c r="C73" s="41"/>
    </row>
    <row r="74" spans="1:3" ht="12.75">
      <c r="A74" s="41"/>
      <c r="B74" s="41"/>
      <c r="C74" s="41"/>
    </row>
    <row r="75" spans="1:3" ht="12.75">
      <c r="A75" s="41"/>
      <c r="B75" s="41"/>
      <c r="C75" s="41"/>
    </row>
    <row r="76" spans="1:3" ht="12.75">
      <c r="A76" s="41"/>
      <c r="B76" s="41"/>
      <c r="C76" s="41"/>
    </row>
    <row r="77" spans="1:3" ht="12.75">
      <c r="A77" s="41"/>
      <c r="B77" s="41"/>
      <c r="C77" s="41"/>
    </row>
  </sheetData>
  <mergeCells count="5">
    <mergeCell ref="A40:B40"/>
    <mergeCell ref="C1:C3"/>
    <mergeCell ref="C38:C39"/>
    <mergeCell ref="A4:C4"/>
    <mergeCell ref="B33:C33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A1" sqref="A1"/>
    </sheetView>
  </sheetViews>
  <sheetFormatPr defaultColWidth="9.00390625" defaultRowHeight="12.75"/>
  <cols>
    <col min="1" max="1" width="44.375" style="0" customWidth="1"/>
    <col min="2" max="2" width="30.375" style="0" customWidth="1"/>
    <col min="3" max="3" width="11.00390625" style="0" customWidth="1"/>
  </cols>
  <sheetData>
    <row r="1" spans="2:3" ht="78" customHeight="1">
      <c r="B1" s="512" t="s">
        <v>158</v>
      </c>
      <c r="C1" s="512"/>
    </row>
    <row r="2" spans="1:3" ht="72.75" customHeight="1">
      <c r="A2" s="660" t="s">
        <v>755</v>
      </c>
      <c r="B2" s="660"/>
      <c r="C2" s="660"/>
    </row>
    <row r="3" spans="1:3" ht="18.75" customHeight="1">
      <c r="A3" s="187"/>
      <c r="B3" s="187"/>
      <c r="C3" s="187"/>
    </row>
    <row r="4" ht="16.5" customHeight="1"/>
    <row r="5" ht="36.75" customHeight="1" thickBot="1">
      <c r="C5" s="168" t="s">
        <v>167</v>
      </c>
    </row>
    <row r="6" spans="1:4" ht="19.5" customHeight="1" thickBot="1">
      <c r="A6" s="192" t="s">
        <v>180</v>
      </c>
      <c r="B6" s="658" t="s">
        <v>168</v>
      </c>
      <c r="C6" s="659"/>
      <c r="D6" s="41"/>
    </row>
    <row r="7" spans="1:4" ht="13.5" thickBot="1">
      <c r="A7" s="193">
        <v>1</v>
      </c>
      <c r="B7" s="475">
        <v>2</v>
      </c>
      <c r="C7" s="476"/>
      <c r="D7" s="41"/>
    </row>
    <row r="8" spans="1:3" ht="66.75" customHeight="1" thickBot="1">
      <c r="A8" s="194" t="s">
        <v>182</v>
      </c>
      <c r="B8" s="656">
        <v>16000</v>
      </c>
      <c r="C8" s="657"/>
    </row>
    <row r="9" spans="1:3" ht="22.5" customHeight="1" thickBot="1">
      <c r="A9" s="189" t="s">
        <v>181</v>
      </c>
      <c r="B9" s="593">
        <f>SUM(B8:B8)</f>
        <v>16000</v>
      </c>
      <c r="C9" s="594"/>
    </row>
    <row r="10" ht="35.25" customHeight="1"/>
    <row r="11" ht="12.75">
      <c r="B11" t="s">
        <v>202</v>
      </c>
    </row>
  </sheetData>
  <mergeCells count="5">
    <mergeCell ref="B1:C1"/>
    <mergeCell ref="B9:C9"/>
    <mergeCell ref="B8:C8"/>
    <mergeCell ref="B6:C6"/>
    <mergeCell ref="A2:C2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A2" sqref="A2:D2"/>
    </sheetView>
  </sheetViews>
  <sheetFormatPr defaultColWidth="9.00390625" defaultRowHeight="12.75"/>
  <cols>
    <col min="1" max="1" width="6.625" style="0" customWidth="1"/>
    <col min="2" max="2" width="52.875" style="0" customWidth="1"/>
    <col min="3" max="3" width="16.375" style="0" customWidth="1"/>
    <col min="4" max="4" width="17.875" style="0" customWidth="1"/>
    <col min="5" max="5" width="9.625" style="0" bestFit="1" customWidth="1"/>
  </cols>
  <sheetData>
    <row r="1" spans="3:4" ht="45" customHeight="1">
      <c r="C1" s="651" t="s">
        <v>159</v>
      </c>
      <c r="D1" s="651"/>
    </row>
    <row r="2" spans="1:4" ht="77.25" customHeight="1">
      <c r="A2" s="661" t="s">
        <v>754</v>
      </c>
      <c r="B2" s="661"/>
      <c r="C2" s="661"/>
      <c r="D2" s="661"/>
    </row>
    <row r="3" spans="1:4" ht="24.75" customHeight="1">
      <c r="A3" s="2" t="s">
        <v>675</v>
      </c>
      <c r="B3" s="2" t="s">
        <v>115</v>
      </c>
      <c r="C3" s="2" t="s">
        <v>116</v>
      </c>
      <c r="D3" s="2" t="s">
        <v>117</v>
      </c>
    </row>
    <row r="4" spans="1:4" ht="12.75">
      <c r="A4" s="167">
        <v>1</v>
      </c>
      <c r="B4" s="167">
        <v>2</v>
      </c>
      <c r="C4" s="167">
        <v>4</v>
      </c>
      <c r="D4" s="167">
        <v>5</v>
      </c>
    </row>
    <row r="5" spans="1:5" ht="18.75" customHeight="1">
      <c r="A5" s="101" t="s">
        <v>687</v>
      </c>
      <c r="B5" s="4" t="s">
        <v>224</v>
      </c>
      <c r="C5" s="205"/>
      <c r="D5" s="9">
        <f>D6+D7</f>
        <v>119067</v>
      </c>
      <c r="E5" s="174"/>
    </row>
    <row r="6" spans="1:5" ht="17.25" customHeight="1">
      <c r="A6" s="207"/>
      <c r="B6" s="208" t="s">
        <v>225</v>
      </c>
      <c r="C6" s="209">
        <v>80120</v>
      </c>
      <c r="D6" s="210">
        <v>48687</v>
      </c>
      <c r="E6" s="174"/>
    </row>
    <row r="7" spans="1:4" ht="17.25" customHeight="1">
      <c r="A7" s="207"/>
      <c r="B7" s="208" t="s">
        <v>226</v>
      </c>
      <c r="C7" s="209">
        <v>80130</v>
      </c>
      <c r="D7" s="210">
        <v>70380</v>
      </c>
    </row>
    <row r="8" spans="1:4" ht="12.75" hidden="1">
      <c r="A8" s="207"/>
      <c r="B8" s="212" t="s">
        <v>121</v>
      </c>
      <c r="C8" s="214">
        <v>0</v>
      </c>
      <c r="D8" s="215">
        <v>0</v>
      </c>
    </row>
    <row r="9" spans="1:4" ht="24.75" customHeight="1">
      <c r="A9" s="261" t="s">
        <v>688</v>
      </c>
      <c r="B9" s="49" t="s">
        <v>227</v>
      </c>
      <c r="C9" s="216"/>
      <c r="D9" s="244">
        <f>D10+D11</f>
        <v>224280</v>
      </c>
    </row>
    <row r="10" spans="1:4" ht="18.75" customHeight="1">
      <c r="A10" s="207"/>
      <c r="B10" s="208" t="s">
        <v>228</v>
      </c>
      <c r="C10" s="209">
        <v>80120</v>
      </c>
      <c r="D10" s="210">
        <v>191160</v>
      </c>
    </row>
    <row r="11" spans="1:4" ht="18.75" customHeight="1">
      <c r="A11" s="207"/>
      <c r="B11" s="208" t="s">
        <v>229</v>
      </c>
      <c r="C11" s="209">
        <v>80130</v>
      </c>
      <c r="D11" s="210">
        <v>33120</v>
      </c>
    </row>
    <row r="12" spans="1:4" ht="12.75" hidden="1">
      <c r="A12" s="214" t="s">
        <v>692</v>
      </c>
      <c r="B12" s="204" t="s">
        <v>118</v>
      </c>
      <c r="C12" s="217"/>
      <c r="D12" s="206">
        <f>D13</f>
        <v>0</v>
      </c>
    </row>
    <row r="13" spans="1:4" ht="24" customHeight="1" hidden="1">
      <c r="A13" s="211"/>
      <c r="B13" s="212" t="s">
        <v>119</v>
      </c>
      <c r="C13" s="214">
        <v>0</v>
      </c>
      <c r="D13" s="215">
        <v>0</v>
      </c>
    </row>
    <row r="14" spans="1:5" ht="25.5" customHeight="1">
      <c r="A14" s="101" t="s">
        <v>690</v>
      </c>
      <c r="B14" s="262" t="s">
        <v>230</v>
      </c>
      <c r="C14" s="205"/>
      <c r="D14" s="9">
        <f>D15+D16+D17+D18</f>
        <v>716653</v>
      </c>
      <c r="E14" s="174"/>
    </row>
    <row r="15" spans="1:4" ht="12.75">
      <c r="A15" s="207"/>
      <c r="B15" s="218" t="s">
        <v>9</v>
      </c>
      <c r="C15" s="209">
        <v>80102</v>
      </c>
      <c r="D15" s="210">
        <v>220604</v>
      </c>
    </row>
    <row r="16" spans="1:4" ht="12.75">
      <c r="A16" s="207"/>
      <c r="B16" s="218" t="s">
        <v>8</v>
      </c>
      <c r="C16" s="209">
        <v>80105</v>
      </c>
      <c r="D16" s="210">
        <v>111982</v>
      </c>
    </row>
    <row r="17" spans="1:4" ht="12.75">
      <c r="A17" s="207"/>
      <c r="B17" s="218" t="s">
        <v>231</v>
      </c>
      <c r="C17" s="209">
        <v>80111</v>
      </c>
      <c r="D17" s="210">
        <v>239080</v>
      </c>
    </row>
    <row r="18" spans="1:4" ht="13.5" thickBot="1">
      <c r="A18" s="211"/>
      <c r="B18" s="219" t="s">
        <v>232</v>
      </c>
      <c r="C18" s="214">
        <v>80134</v>
      </c>
      <c r="D18" s="215">
        <v>144987</v>
      </c>
    </row>
    <row r="19" spans="1:4" ht="12.75" hidden="1">
      <c r="A19" s="207"/>
      <c r="B19" s="336"/>
      <c r="C19" s="207"/>
      <c r="D19" s="337"/>
    </row>
    <row r="20" spans="1:4" ht="13.5" customHeight="1" thickBot="1">
      <c r="A20" s="338"/>
      <c r="B20" s="339" t="s">
        <v>120</v>
      </c>
      <c r="C20" s="340"/>
      <c r="D20" s="341">
        <f>D5+D9+D14</f>
        <v>1060000</v>
      </c>
    </row>
    <row r="21" spans="1:4" ht="12.75">
      <c r="A21" s="201"/>
      <c r="B21" s="201"/>
      <c r="C21" s="201"/>
      <c r="D21" s="202"/>
    </row>
    <row r="22" spans="1:4" ht="12.75">
      <c r="A22" s="201"/>
      <c r="B22" s="201"/>
      <c r="C22" s="201"/>
      <c r="D22" s="202"/>
    </row>
    <row r="23" spans="1:4" ht="16.5" customHeight="1">
      <c r="A23" s="201"/>
      <c r="B23" s="201"/>
      <c r="C23" s="107" t="s">
        <v>233</v>
      </c>
      <c r="D23" s="202"/>
    </row>
    <row r="24" spans="3:4" ht="48" customHeight="1">
      <c r="C24" t="s">
        <v>234</v>
      </c>
      <c r="D24" s="174"/>
    </row>
    <row r="25" ht="12.75">
      <c r="D25" s="174"/>
    </row>
    <row r="26" ht="12.75">
      <c r="D26" s="174"/>
    </row>
    <row r="27" ht="12.75">
      <c r="D27" s="174"/>
    </row>
    <row r="28" ht="12.75">
      <c r="D28" s="174"/>
    </row>
    <row r="29" ht="12.75">
      <c r="D29" s="174"/>
    </row>
    <row r="30" ht="12.75">
      <c r="D30" s="174"/>
    </row>
    <row r="31" ht="12.75">
      <c r="D31" s="174"/>
    </row>
    <row r="32" ht="12.75">
      <c r="D32" s="174"/>
    </row>
    <row r="33" ht="12.75">
      <c r="D33" s="174"/>
    </row>
  </sheetData>
  <mergeCells count="2">
    <mergeCell ref="A2:D2"/>
    <mergeCell ref="C1:D1"/>
  </mergeCells>
  <printOptions/>
  <pageMargins left="0.5905511811023623" right="0.3937007874015748" top="1.5748031496062993" bottom="0.1968503937007874" header="0.5118110236220472" footer="0.5118110236220472"/>
  <pageSetup horizontalDpi="300" verticalDpi="300" orientation="portrait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16"/>
  <sheetViews>
    <sheetView workbookViewId="0" topLeftCell="A1">
      <selection activeCell="C2" sqref="C2"/>
    </sheetView>
  </sheetViews>
  <sheetFormatPr defaultColWidth="9.00390625" defaultRowHeight="12.75"/>
  <cols>
    <col min="2" max="2" width="39.75390625" style="0" customWidth="1"/>
    <col min="3" max="3" width="26.875" style="0" customWidth="1"/>
  </cols>
  <sheetData>
    <row r="1" ht="69.75" customHeight="1">
      <c r="C1" s="42" t="s">
        <v>160</v>
      </c>
    </row>
    <row r="3" s="424" customFormat="1" ht="54" customHeight="1">
      <c r="A3" s="423" t="s">
        <v>819</v>
      </c>
    </row>
    <row r="4" ht="28.5" customHeight="1" thickBot="1">
      <c r="C4" s="425" t="s">
        <v>820</v>
      </c>
    </row>
    <row r="5" spans="2:3" s="37" customFormat="1" ht="17.25" customHeight="1" thickBot="1">
      <c r="B5" s="426" t="s">
        <v>115</v>
      </c>
      <c r="C5" s="427" t="s">
        <v>168</v>
      </c>
    </row>
    <row r="6" spans="2:3" ht="9" customHeight="1">
      <c r="B6" s="428">
        <v>1</v>
      </c>
      <c r="C6" s="428">
        <v>2</v>
      </c>
    </row>
    <row r="7" spans="2:3" ht="24" customHeight="1">
      <c r="B7" s="3" t="s">
        <v>821</v>
      </c>
      <c r="C7" s="3" t="s">
        <v>822</v>
      </c>
    </row>
    <row r="8" spans="2:3" ht="24" customHeight="1">
      <c r="B8" s="8"/>
      <c r="C8" s="8"/>
    </row>
    <row r="9" spans="2:3" ht="24" customHeight="1">
      <c r="B9" s="8"/>
      <c r="C9" s="8"/>
    </row>
    <row r="10" spans="2:3" ht="24" customHeight="1" thickBot="1">
      <c r="B10" s="76"/>
      <c r="C10" s="76"/>
    </row>
    <row r="11" spans="2:3" s="37" customFormat="1" ht="18.75" customHeight="1" thickBot="1">
      <c r="B11" s="426" t="s">
        <v>823</v>
      </c>
      <c r="C11" s="64" t="s">
        <v>824</v>
      </c>
    </row>
    <row r="15" ht="12.75">
      <c r="C15" s="168" t="s">
        <v>233</v>
      </c>
    </row>
    <row r="16" ht="26.25" customHeight="1">
      <c r="C16" s="168" t="s">
        <v>949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F3" sqref="F3"/>
    </sheetView>
  </sheetViews>
  <sheetFormatPr defaultColWidth="9.00390625" defaultRowHeight="12.75"/>
  <cols>
    <col min="1" max="1" width="39.375" style="0" customWidth="1"/>
    <col min="2" max="2" width="21.125" style="0" customWidth="1"/>
    <col min="3" max="3" width="20.125" style="0" customWidth="1"/>
  </cols>
  <sheetData>
    <row r="1" spans="2:3" ht="54" customHeight="1">
      <c r="B1" s="512" t="s">
        <v>263</v>
      </c>
      <c r="C1" s="512"/>
    </row>
    <row r="2" spans="1:3" ht="32.25" customHeight="1">
      <c r="A2" s="514" t="s">
        <v>751</v>
      </c>
      <c r="B2" s="514"/>
      <c r="C2" s="514"/>
    </row>
    <row r="3" spans="1:3" ht="18.75" customHeight="1">
      <c r="A3" s="513" t="s">
        <v>246</v>
      </c>
      <c r="B3" s="515" t="s">
        <v>509</v>
      </c>
      <c r="C3" s="515" t="s">
        <v>606</v>
      </c>
    </row>
    <row r="4" spans="1:3" ht="25.5" customHeight="1">
      <c r="A4" s="513"/>
      <c r="B4" s="508"/>
      <c r="C4" s="508"/>
    </row>
    <row r="5" spans="1:3" ht="14.25" customHeight="1">
      <c r="A5" s="3">
        <v>1</v>
      </c>
      <c r="B5" s="46">
        <v>3</v>
      </c>
      <c r="C5" s="3">
        <v>6</v>
      </c>
    </row>
    <row r="6" spans="1:3" ht="40.5" customHeight="1">
      <c r="A6" s="439" t="s">
        <v>607</v>
      </c>
      <c r="B6" s="444" t="e">
        <f>#REF!+#REF!</f>
        <v>#REF!</v>
      </c>
      <c r="C6" s="454" t="e">
        <f>B6/B21</f>
        <v>#REF!</v>
      </c>
    </row>
    <row r="7" spans="1:3" ht="22.5" customHeight="1">
      <c r="A7" s="366" t="s">
        <v>608</v>
      </c>
      <c r="B7" s="444" t="e">
        <f>B8+B9</f>
        <v>#REF!</v>
      </c>
      <c r="C7" s="454" t="e">
        <f>B7/B21</f>
        <v>#REF!</v>
      </c>
    </row>
    <row r="8" spans="1:3" ht="19.5" customHeight="1">
      <c r="A8" s="8" t="s">
        <v>609</v>
      </c>
      <c r="B8" s="5" t="e">
        <f>#REF!</f>
        <v>#REF!</v>
      </c>
      <c r="C8" s="6" t="e">
        <f>B8/B21</f>
        <v>#REF!</v>
      </c>
    </row>
    <row r="9" spans="1:3" ht="21" customHeight="1">
      <c r="A9" s="8" t="s">
        <v>610</v>
      </c>
      <c r="B9" s="5" t="e">
        <f>#REF!</f>
        <v>#REF!</v>
      </c>
      <c r="C9" s="6" t="e">
        <f>B9/B21</f>
        <v>#REF!</v>
      </c>
    </row>
    <row r="10" spans="1:3" ht="27.75" customHeight="1">
      <c r="A10" s="439" t="s">
        <v>611</v>
      </c>
      <c r="B10" s="444">
        <v>847746</v>
      </c>
      <c r="C10" s="454" t="e">
        <f>B10/B21</f>
        <v>#REF!</v>
      </c>
    </row>
    <row r="11" spans="1:3" ht="21.75" customHeight="1">
      <c r="A11" s="366" t="s">
        <v>612</v>
      </c>
      <c r="B11" s="444">
        <v>1293652</v>
      </c>
      <c r="C11" s="454" t="e">
        <f>B11/B21</f>
        <v>#REF!</v>
      </c>
    </row>
    <row r="12" spans="1:3" ht="20.25" customHeight="1">
      <c r="A12" s="306" t="s">
        <v>613</v>
      </c>
      <c r="B12" s="455" t="e">
        <f>B11+B10+B7+B6</f>
        <v>#REF!</v>
      </c>
      <c r="C12" s="327" t="e">
        <f>B12/B21</f>
        <v>#REF!</v>
      </c>
    </row>
    <row r="13" spans="1:3" ht="19.5" customHeight="1">
      <c r="A13" s="366" t="s">
        <v>614</v>
      </c>
      <c r="B13" s="447" t="e">
        <f>#REF!</f>
        <v>#REF!</v>
      </c>
      <c r="C13" s="446" t="e">
        <f>B13/B21</f>
        <v>#REF!</v>
      </c>
    </row>
    <row r="14" spans="1:3" ht="21.75" customHeight="1">
      <c r="A14" s="366" t="s">
        <v>615</v>
      </c>
      <c r="B14" s="447" t="e">
        <f>B15+B16+B17+B19+B18</f>
        <v>#REF!</v>
      </c>
      <c r="C14" s="446" t="e">
        <f>B14/B21</f>
        <v>#REF!</v>
      </c>
    </row>
    <row r="15" spans="1:3" ht="25.5">
      <c r="A15" s="11" t="s">
        <v>917</v>
      </c>
      <c r="B15" s="5" t="e">
        <f>#REF!</f>
        <v>#REF!</v>
      </c>
      <c r="C15" s="6" t="e">
        <f>B15/B21</f>
        <v>#REF!</v>
      </c>
    </row>
    <row r="16" spans="1:3" ht="51">
      <c r="A16" s="11" t="s">
        <v>962</v>
      </c>
      <c r="B16" s="5" t="e">
        <f>#REF!</f>
        <v>#REF!</v>
      </c>
      <c r="C16" s="6" t="e">
        <f>B16/B21</f>
        <v>#REF!</v>
      </c>
    </row>
    <row r="17" spans="1:3" ht="42.75" customHeight="1">
      <c r="A17" s="11" t="s">
        <v>969</v>
      </c>
      <c r="B17" s="5" t="e">
        <f>#REF!</f>
        <v>#REF!</v>
      </c>
      <c r="C17" s="6" t="e">
        <f>B17/B21</f>
        <v>#REF!</v>
      </c>
    </row>
    <row r="18" spans="1:3" ht="33.75" customHeight="1">
      <c r="A18" s="11" t="s">
        <v>1</v>
      </c>
      <c r="B18" s="5" t="e">
        <f>#REF!</f>
        <v>#REF!</v>
      </c>
      <c r="C18" s="6" t="e">
        <f>B18/B21</f>
        <v>#REF!</v>
      </c>
    </row>
    <row r="19" spans="1:3" ht="30" customHeight="1">
      <c r="A19" s="12" t="s">
        <v>0</v>
      </c>
      <c r="B19" s="5" t="e">
        <f>#REF!</f>
        <v>#REF!</v>
      </c>
      <c r="C19" s="6" t="e">
        <f>B19/B21</f>
        <v>#REF!</v>
      </c>
    </row>
    <row r="20" spans="1:3" ht="24" customHeight="1">
      <c r="A20" s="278" t="s">
        <v>626</v>
      </c>
      <c r="B20" s="276" t="e">
        <f>B13+B14</f>
        <v>#REF!</v>
      </c>
      <c r="C20" s="277" t="e">
        <f>B20/B21</f>
        <v>#REF!</v>
      </c>
    </row>
    <row r="21" spans="1:3" ht="30" customHeight="1">
      <c r="A21" s="456" t="s">
        <v>627</v>
      </c>
      <c r="B21" s="457" t="e">
        <f>B12+B20</f>
        <v>#REF!</v>
      </c>
      <c r="C21" s="458" t="e">
        <f>B21/B21</f>
        <v>#REF!</v>
      </c>
    </row>
  </sheetData>
  <mergeCells count="5">
    <mergeCell ref="B1:C1"/>
    <mergeCell ref="A3:A4"/>
    <mergeCell ref="A2:C2"/>
    <mergeCell ref="C3:C4"/>
    <mergeCell ref="B3:B4"/>
  </mergeCells>
  <printOptions/>
  <pageMargins left="0.984251968503937" right="0.7874015748031497" top="0.984251968503937" bottom="0.984251968503937" header="0.5118110236220472" footer="0.5118110236220472"/>
  <pageSetup horizontalDpi="360" verticalDpi="360" orientation="portrait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Y630"/>
  <sheetViews>
    <sheetView zoomScaleSheetLayoutView="75" workbookViewId="0" topLeftCell="A1">
      <selection activeCell="A1" sqref="A1"/>
    </sheetView>
  </sheetViews>
  <sheetFormatPr defaultColWidth="9.00390625" defaultRowHeight="12.75"/>
  <cols>
    <col min="1" max="1" width="8.875" style="0" customWidth="1"/>
    <col min="2" max="2" width="7.25390625" style="0" customWidth="1"/>
    <col min="3" max="3" width="35.375" style="0" customWidth="1"/>
    <col min="4" max="4" width="13.25390625" style="0" hidden="1" customWidth="1"/>
    <col min="5" max="5" width="14.625" style="0" hidden="1" customWidth="1"/>
    <col min="6" max="6" width="12.00390625" style="0" hidden="1" customWidth="1"/>
    <col min="7" max="7" width="5.625" style="0" hidden="1" customWidth="1"/>
    <col min="8" max="8" width="14.625" style="0" hidden="1" customWidth="1"/>
    <col min="9" max="9" width="12.625" style="0" hidden="1" customWidth="1"/>
    <col min="10" max="10" width="12.75390625" style="0" hidden="1" customWidth="1"/>
    <col min="11" max="11" width="16.625" style="0" customWidth="1"/>
    <col min="12" max="12" width="15.875" style="0" customWidth="1"/>
    <col min="13" max="13" width="15.625" style="0" customWidth="1"/>
    <col min="14" max="14" width="13.875" style="0" customWidth="1"/>
    <col min="15" max="15" width="14.25390625" style="0" customWidth="1"/>
  </cols>
  <sheetData>
    <row r="1" spans="12:14" ht="21" customHeight="1">
      <c r="L1" s="501" t="s">
        <v>98</v>
      </c>
      <c r="M1" s="501"/>
      <c r="N1" s="501"/>
    </row>
    <row r="2" spans="2:19" ht="18.75" customHeight="1" thickBot="1">
      <c r="B2" s="502" t="s">
        <v>749</v>
      </c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512"/>
      <c r="P2" s="512"/>
      <c r="Q2" s="512"/>
      <c r="R2" s="512"/>
      <c r="S2" s="512"/>
    </row>
    <row r="3" spans="2:14" ht="19.5" customHeight="1" hidden="1" thickBot="1">
      <c r="B3" s="13"/>
      <c r="C3" s="503"/>
      <c r="D3" s="503"/>
      <c r="E3" s="503"/>
      <c r="F3" s="503"/>
      <c r="G3" s="503"/>
      <c r="H3" s="503"/>
      <c r="I3" s="503"/>
      <c r="J3" s="503"/>
      <c r="K3" s="503"/>
      <c r="L3" s="503"/>
      <c r="M3" s="503"/>
      <c r="N3" s="503"/>
    </row>
    <row r="4" spans="1:15" ht="10.5" customHeight="1" thickBot="1">
      <c r="A4" s="488" t="s">
        <v>247</v>
      </c>
      <c r="B4" s="486" t="s">
        <v>248</v>
      </c>
      <c r="C4" s="517" t="s">
        <v>249</v>
      </c>
      <c r="D4" s="229"/>
      <c r="E4" s="229"/>
      <c r="F4" s="229"/>
      <c r="G4" s="229"/>
      <c r="H4" s="517" t="s">
        <v>244</v>
      </c>
      <c r="I4" s="482" t="s">
        <v>30</v>
      </c>
      <c r="J4" s="483"/>
      <c r="K4" s="517" t="s">
        <v>964</v>
      </c>
      <c r="L4" s="494" t="s">
        <v>254</v>
      </c>
      <c r="M4" s="495"/>
      <c r="N4" s="496"/>
      <c r="O4" s="510" t="s">
        <v>606</v>
      </c>
    </row>
    <row r="5" spans="1:15" ht="9" customHeight="1">
      <c r="A5" s="489"/>
      <c r="B5" s="487"/>
      <c r="C5" s="518"/>
      <c r="D5" s="506" t="s">
        <v>250</v>
      </c>
      <c r="E5" s="504" t="s">
        <v>251</v>
      </c>
      <c r="F5" s="504" t="s">
        <v>252</v>
      </c>
      <c r="G5" s="520" t="s">
        <v>253</v>
      </c>
      <c r="H5" s="518"/>
      <c r="I5" s="493" t="s">
        <v>844</v>
      </c>
      <c r="J5" s="480" t="s">
        <v>845</v>
      </c>
      <c r="K5" s="518"/>
      <c r="L5" s="497"/>
      <c r="M5" s="498"/>
      <c r="N5" s="499"/>
      <c r="O5" s="511"/>
    </row>
    <row r="6" spans="1:15" ht="6.75" customHeight="1" thickBot="1">
      <c r="A6" s="489"/>
      <c r="B6" s="487"/>
      <c r="C6" s="518"/>
      <c r="D6" s="507"/>
      <c r="E6" s="504"/>
      <c r="F6" s="504"/>
      <c r="G6" s="520"/>
      <c r="H6" s="518"/>
      <c r="I6" s="526"/>
      <c r="J6" s="481"/>
      <c r="K6" s="518"/>
      <c r="L6" s="490"/>
      <c r="M6" s="491"/>
      <c r="N6" s="492"/>
      <c r="O6" s="511"/>
    </row>
    <row r="7" spans="1:15" ht="19.5" customHeight="1" thickBot="1">
      <c r="A7" s="489"/>
      <c r="B7" s="487"/>
      <c r="C7" s="518"/>
      <c r="D7" s="493"/>
      <c r="E7" s="505"/>
      <c r="F7" s="505"/>
      <c r="G7" s="521"/>
      <c r="H7" s="518"/>
      <c r="I7" s="526"/>
      <c r="J7" s="481"/>
      <c r="K7" s="524"/>
      <c r="L7" s="248" t="s">
        <v>255</v>
      </c>
      <c r="M7" s="248" t="s">
        <v>256</v>
      </c>
      <c r="N7" s="477" t="s">
        <v>257</v>
      </c>
      <c r="O7" s="500"/>
    </row>
    <row r="8" spans="1:15" ht="12" customHeight="1" thickBot="1">
      <c r="A8" s="169">
        <v>1</v>
      </c>
      <c r="B8" s="170">
        <v>2</v>
      </c>
      <c r="C8" s="171">
        <v>3</v>
      </c>
      <c r="D8" s="171">
        <v>4</v>
      </c>
      <c r="E8" s="171">
        <v>4</v>
      </c>
      <c r="F8" s="171">
        <v>5</v>
      </c>
      <c r="G8" s="171">
        <v>6</v>
      </c>
      <c r="H8" s="171">
        <v>5</v>
      </c>
      <c r="I8" s="171"/>
      <c r="J8" s="171"/>
      <c r="K8" s="238">
        <v>5</v>
      </c>
      <c r="L8" s="71">
        <v>6</v>
      </c>
      <c r="M8" s="171">
        <v>7</v>
      </c>
      <c r="N8" s="171">
        <v>8</v>
      </c>
      <c r="O8" s="478">
        <v>11</v>
      </c>
    </row>
    <row r="9" spans="1:15" s="286" customFormat="1" ht="15" customHeight="1">
      <c r="A9" s="283" t="s">
        <v>258</v>
      </c>
      <c r="B9" s="522"/>
      <c r="C9" s="284" t="s">
        <v>260</v>
      </c>
      <c r="D9" s="284">
        <f>D10+D27</f>
        <v>303000</v>
      </c>
      <c r="E9" s="284">
        <f>E10+E27</f>
        <v>373400</v>
      </c>
      <c r="F9" s="284">
        <f>F10+F27</f>
        <v>0</v>
      </c>
      <c r="G9" s="284">
        <f>G10+G27</f>
        <v>0</v>
      </c>
      <c r="H9" s="284">
        <f>H10+H27+H25+H29</f>
        <v>91800</v>
      </c>
      <c r="I9" s="284">
        <f>I10+I27+I25+I29</f>
        <v>0</v>
      </c>
      <c r="J9" s="284">
        <f>J10+J27+J25+J29</f>
        <v>0</v>
      </c>
      <c r="K9" s="284">
        <f>K27+K29</f>
        <v>31700</v>
      </c>
      <c r="L9" s="284">
        <f>L27+L29</f>
        <v>30000</v>
      </c>
      <c r="M9" s="284">
        <f>M27+M29</f>
        <v>0</v>
      </c>
      <c r="N9" s="284">
        <f>N27+N29</f>
        <v>1700</v>
      </c>
      <c r="O9" s="285">
        <f>K9/$K$616</f>
        <v>0.0009864706637628124</v>
      </c>
    </row>
    <row r="10" spans="1:15" ht="17.25" customHeight="1" hidden="1">
      <c r="A10" s="17" t="s">
        <v>261</v>
      </c>
      <c r="B10" s="523"/>
      <c r="C10" s="7" t="s">
        <v>268</v>
      </c>
      <c r="D10" s="7">
        <f>D13+D14+D15+D16+D24</f>
        <v>303000</v>
      </c>
      <c r="E10" s="7">
        <f>E12+E13+E14+E15+E16+E17+E18+E19+E21+E22+E24+E11</f>
        <v>336000</v>
      </c>
      <c r="F10" s="7">
        <f>F12+F13+F14+F15+F16+F17+F18+F19+F21+F22+F11</f>
        <v>0</v>
      </c>
      <c r="G10" s="7">
        <f>G12+G13+G14+G15+G16+G17+G18+G19+G21+G22+G24+G11</f>
        <v>0</v>
      </c>
      <c r="H10" s="7">
        <f>H12+H13+H14+H15+H16+H17+H18+H19+H21+H22+H24+H11+H20+H23</f>
        <v>45600</v>
      </c>
      <c r="I10" s="7">
        <f>I12+I13+I14+I15+I16+I17+I18+I19+I21+I22+I24+I11+I20+I23</f>
        <v>0</v>
      </c>
      <c r="J10" s="7">
        <f>J12+J13+J14+J15+J16+J17+J18+J19+J21+J22+J24+J11+J20+J23</f>
        <v>0</v>
      </c>
      <c r="K10" s="7">
        <f>K12+K13+K14+K15+K16+K17+K18+K19+K21+K22+K24+K11+K20+K23</f>
        <v>0</v>
      </c>
      <c r="L10" s="7" t="e">
        <f>L11+L12+L13+L14+L15+L16+L17+L18+L19+L21+L22+L24+L23+L20</f>
        <v>#REF!</v>
      </c>
      <c r="M10" s="19">
        <f>M11+M12+M13+M14+M15+M16+M17+M18+M19+M21+M22+M24</f>
        <v>0</v>
      </c>
      <c r="N10" s="19">
        <f>N11+N12+N13+N14+N15+N16+N17+N18+N19+N21+N22+N24</f>
        <v>0</v>
      </c>
      <c r="O10" s="285">
        <f aca="true" t="shared" si="0" ref="O10:O28">K10/$K$616</f>
        <v>0</v>
      </c>
    </row>
    <row r="11" spans="1:15" ht="12" customHeight="1" hidden="1">
      <c r="A11" s="17"/>
      <c r="B11" s="18" t="s">
        <v>269</v>
      </c>
      <c r="C11" s="20" t="s">
        <v>278</v>
      </c>
      <c r="D11" s="20"/>
      <c r="E11" s="20">
        <v>4100</v>
      </c>
      <c r="F11" s="20">
        <v>0</v>
      </c>
      <c r="G11" s="20">
        <v>0</v>
      </c>
      <c r="H11" s="20"/>
      <c r="I11" s="20"/>
      <c r="J11" s="20"/>
      <c r="K11" s="20"/>
      <c r="L11" s="20"/>
      <c r="M11" s="21"/>
      <c r="N11" s="21"/>
      <c r="O11" s="285">
        <f t="shared" si="0"/>
        <v>0</v>
      </c>
    </row>
    <row r="12" spans="1:15" ht="14.25" customHeight="1" hidden="1">
      <c r="A12" s="17"/>
      <c r="B12" s="18" t="s">
        <v>279</v>
      </c>
      <c r="C12" s="22" t="s">
        <v>280</v>
      </c>
      <c r="D12" s="20"/>
      <c r="E12" s="20">
        <v>1760</v>
      </c>
      <c r="F12" s="20">
        <v>0</v>
      </c>
      <c r="G12" s="20">
        <v>0</v>
      </c>
      <c r="H12" s="20"/>
      <c r="I12" s="20"/>
      <c r="J12" s="20"/>
      <c r="K12" s="20"/>
      <c r="L12" s="20"/>
      <c r="M12" s="21"/>
      <c r="N12" s="21"/>
      <c r="O12" s="285">
        <f t="shared" si="0"/>
        <v>0</v>
      </c>
    </row>
    <row r="13" spans="1:15" ht="0.75" customHeight="1" hidden="1">
      <c r="A13" s="519"/>
      <c r="B13" s="18" t="s">
        <v>281</v>
      </c>
      <c r="C13" s="11" t="s">
        <v>177</v>
      </c>
      <c r="D13" s="8">
        <v>70035</v>
      </c>
      <c r="E13" s="8">
        <v>72840</v>
      </c>
      <c r="F13" s="8">
        <v>0</v>
      </c>
      <c r="G13" s="8">
        <v>0</v>
      </c>
      <c r="H13" s="8">
        <v>14972</v>
      </c>
      <c r="I13" s="8">
        <v>0</v>
      </c>
      <c r="J13" s="8">
        <v>0</v>
      </c>
      <c r="K13" s="8">
        <v>0</v>
      </c>
      <c r="L13" s="8">
        <f>K13</f>
        <v>0</v>
      </c>
      <c r="M13" s="24">
        <v>0</v>
      </c>
      <c r="N13" s="24">
        <v>0</v>
      </c>
      <c r="O13" s="285">
        <f t="shared" si="0"/>
        <v>0</v>
      </c>
    </row>
    <row r="14" spans="1:15" ht="26.25" customHeight="1" hidden="1">
      <c r="A14" s="519"/>
      <c r="B14" s="18" t="s">
        <v>283</v>
      </c>
      <c r="C14" s="11" t="s">
        <v>284</v>
      </c>
      <c r="D14" s="8">
        <v>149465</v>
      </c>
      <c r="E14" s="8">
        <v>158968</v>
      </c>
      <c r="F14" s="8">
        <v>0</v>
      </c>
      <c r="G14" s="8">
        <v>0</v>
      </c>
      <c r="H14" s="8">
        <v>19680</v>
      </c>
      <c r="I14" s="8">
        <v>0</v>
      </c>
      <c r="J14" s="8">
        <v>0</v>
      </c>
      <c r="K14" s="8">
        <v>0</v>
      </c>
      <c r="L14" s="8">
        <f aca="true" t="shared" si="1" ref="L14:L22">K14</f>
        <v>0</v>
      </c>
      <c r="M14" s="24">
        <v>0</v>
      </c>
      <c r="N14" s="24">
        <v>0</v>
      </c>
      <c r="O14" s="285">
        <f t="shared" si="0"/>
        <v>0</v>
      </c>
    </row>
    <row r="15" spans="1:15" ht="18" customHeight="1" hidden="1">
      <c r="A15" s="519"/>
      <c r="B15" s="18" t="s">
        <v>285</v>
      </c>
      <c r="C15" s="11" t="s">
        <v>286</v>
      </c>
      <c r="D15" s="8">
        <v>16347</v>
      </c>
      <c r="E15" s="8">
        <v>17570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/>
      <c r="L15" s="8">
        <f t="shared" si="1"/>
        <v>0</v>
      </c>
      <c r="M15" s="24">
        <v>0</v>
      </c>
      <c r="N15" s="24">
        <v>0</v>
      </c>
      <c r="O15" s="285">
        <f t="shared" si="0"/>
        <v>0</v>
      </c>
    </row>
    <row r="16" spans="1:15" ht="13.5" customHeight="1" hidden="1">
      <c r="A16" s="519"/>
      <c r="B16" s="25" t="s">
        <v>287</v>
      </c>
      <c r="C16" s="11" t="s">
        <v>288</v>
      </c>
      <c r="D16" s="8">
        <v>45328</v>
      </c>
      <c r="E16" s="8">
        <v>39440</v>
      </c>
      <c r="F16" s="8">
        <v>0</v>
      </c>
      <c r="G16" s="8">
        <v>0</v>
      </c>
      <c r="H16" s="8">
        <v>6303</v>
      </c>
      <c r="I16" s="8">
        <v>0</v>
      </c>
      <c r="J16" s="8">
        <v>0</v>
      </c>
      <c r="K16" s="8">
        <v>0</v>
      </c>
      <c r="L16" s="8">
        <f t="shared" si="1"/>
        <v>0</v>
      </c>
      <c r="M16" s="24">
        <v>0</v>
      </c>
      <c r="N16" s="24">
        <v>0</v>
      </c>
      <c r="O16" s="285">
        <f t="shared" si="0"/>
        <v>0</v>
      </c>
    </row>
    <row r="17" spans="1:15" ht="13.5" customHeight="1" hidden="1">
      <c r="A17" s="519"/>
      <c r="B17" s="25" t="s">
        <v>289</v>
      </c>
      <c r="C17" s="11" t="s">
        <v>290</v>
      </c>
      <c r="D17" s="8"/>
      <c r="E17" s="8">
        <v>5404</v>
      </c>
      <c r="F17" s="8">
        <v>0</v>
      </c>
      <c r="G17" s="8">
        <v>0</v>
      </c>
      <c r="H17" s="8">
        <v>849</v>
      </c>
      <c r="I17" s="8">
        <v>0</v>
      </c>
      <c r="J17" s="8">
        <v>0</v>
      </c>
      <c r="K17" s="8">
        <v>0</v>
      </c>
      <c r="L17" s="8">
        <f t="shared" si="1"/>
        <v>0</v>
      </c>
      <c r="M17" s="24">
        <v>0</v>
      </c>
      <c r="N17" s="24">
        <v>0</v>
      </c>
      <c r="O17" s="285">
        <f t="shared" si="0"/>
        <v>0</v>
      </c>
    </row>
    <row r="18" spans="1:15" ht="13.5" customHeight="1" hidden="1">
      <c r="A18" s="519"/>
      <c r="B18" s="25" t="s">
        <v>291</v>
      </c>
      <c r="C18" s="11" t="s">
        <v>292</v>
      </c>
      <c r="D18" s="8"/>
      <c r="E18" s="8">
        <v>14688</v>
      </c>
      <c r="F18" s="8">
        <v>0</v>
      </c>
      <c r="G18" s="8">
        <v>0</v>
      </c>
      <c r="H18" s="8">
        <v>2134</v>
      </c>
      <c r="I18" s="8">
        <v>0</v>
      </c>
      <c r="J18" s="8">
        <v>0</v>
      </c>
      <c r="K18" s="8">
        <v>0</v>
      </c>
      <c r="L18" s="8">
        <f t="shared" si="1"/>
        <v>0</v>
      </c>
      <c r="M18" s="24">
        <v>0</v>
      </c>
      <c r="N18" s="24">
        <v>0</v>
      </c>
      <c r="O18" s="285">
        <f t="shared" si="0"/>
        <v>0</v>
      </c>
    </row>
    <row r="19" spans="1:15" ht="0.75" customHeight="1" hidden="1">
      <c r="A19" s="519"/>
      <c r="B19" s="25" t="s">
        <v>293</v>
      </c>
      <c r="C19" s="11" t="s">
        <v>294</v>
      </c>
      <c r="D19" s="8"/>
      <c r="E19" s="8">
        <v>950</v>
      </c>
      <c r="F19" s="8">
        <v>0</v>
      </c>
      <c r="G19" s="8">
        <v>0</v>
      </c>
      <c r="H19" s="8">
        <v>714</v>
      </c>
      <c r="I19" s="8">
        <v>0</v>
      </c>
      <c r="J19" s="8">
        <v>0</v>
      </c>
      <c r="K19" s="8">
        <v>0</v>
      </c>
      <c r="L19" s="8">
        <f t="shared" si="1"/>
        <v>0</v>
      </c>
      <c r="M19" s="24">
        <v>0</v>
      </c>
      <c r="N19" s="24">
        <v>0</v>
      </c>
      <c r="O19" s="285">
        <f t="shared" si="0"/>
        <v>0</v>
      </c>
    </row>
    <row r="20" spans="1:15" ht="15" customHeight="1" hidden="1">
      <c r="A20" s="519"/>
      <c r="B20" s="25" t="s">
        <v>295</v>
      </c>
      <c r="C20" s="11" t="s">
        <v>296</v>
      </c>
      <c r="D20" s="8"/>
      <c r="E20" s="8"/>
      <c r="F20" s="8"/>
      <c r="G20" s="8"/>
      <c r="H20" s="8">
        <v>0</v>
      </c>
      <c r="I20" s="8">
        <v>0</v>
      </c>
      <c r="J20" s="8">
        <v>0</v>
      </c>
      <c r="K20" s="8"/>
      <c r="L20" s="8">
        <f t="shared" si="1"/>
        <v>0</v>
      </c>
      <c r="M20" s="24">
        <v>0</v>
      </c>
      <c r="N20" s="24">
        <v>0</v>
      </c>
      <c r="O20" s="285">
        <f t="shared" si="0"/>
        <v>0</v>
      </c>
    </row>
    <row r="21" spans="1:15" ht="15.75" customHeight="1" hidden="1">
      <c r="A21" s="519"/>
      <c r="B21" s="25" t="s">
        <v>297</v>
      </c>
      <c r="C21" s="11" t="s">
        <v>298</v>
      </c>
      <c r="D21" s="8"/>
      <c r="E21" s="8">
        <v>15626</v>
      </c>
      <c r="F21" s="8">
        <v>0</v>
      </c>
      <c r="G21" s="8">
        <v>0</v>
      </c>
      <c r="H21" s="8">
        <v>779</v>
      </c>
      <c r="I21" s="8">
        <v>0</v>
      </c>
      <c r="J21" s="8">
        <v>0</v>
      </c>
      <c r="K21" s="8">
        <v>0</v>
      </c>
      <c r="L21" s="8">
        <f t="shared" si="1"/>
        <v>0</v>
      </c>
      <c r="M21" s="24">
        <v>0</v>
      </c>
      <c r="N21" s="24">
        <v>0</v>
      </c>
      <c r="O21" s="285">
        <f t="shared" si="0"/>
        <v>0</v>
      </c>
    </row>
    <row r="22" spans="1:15" ht="16.5" customHeight="1" hidden="1">
      <c r="A22" s="519"/>
      <c r="B22" s="25" t="s">
        <v>299</v>
      </c>
      <c r="C22" s="11" t="s">
        <v>300</v>
      </c>
      <c r="D22" s="8"/>
      <c r="E22" s="8">
        <v>0</v>
      </c>
      <c r="F22" s="8">
        <v>0</v>
      </c>
      <c r="G22" s="8">
        <v>0</v>
      </c>
      <c r="H22" s="8">
        <v>169</v>
      </c>
      <c r="I22" s="8">
        <v>0</v>
      </c>
      <c r="J22" s="8">
        <v>0</v>
      </c>
      <c r="K22" s="8">
        <v>0</v>
      </c>
      <c r="L22" s="8">
        <f t="shared" si="1"/>
        <v>0</v>
      </c>
      <c r="M22" s="24">
        <v>0</v>
      </c>
      <c r="N22" s="24">
        <v>0</v>
      </c>
      <c r="O22" s="285">
        <f t="shared" si="0"/>
        <v>0</v>
      </c>
    </row>
    <row r="23" spans="1:15" ht="16.5" customHeight="1" hidden="1">
      <c r="A23" s="519"/>
      <c r="B23" s="25" t="s">
        <v>301</v>
      </c>
      <c r="C23" s="11" t="s">
        <v>302</v>
      </c>
      <c r="D23" s="8"/>
      <c r="E23" s="8"/>
      <c r="F23" s="8"/>
      <c r="G23" s="8"/>
      <c r="H23" s="8">
        <v>0</v>
      </c>
      <c r="I23" s="8">
        <v>0</v>
      </c>
      <c r="J23" s="8">
        <v>0</v>
      </c>
      <c r="K23" s="8"/>
      <c r="L23" s="8" t="e">
        <f>#REF!</f>
        <v>#REF!</v>
      </c>
      <c r="M23" s="24">
        <v>0</v>
      </c>
      <c r="N23" s="24">
        <v>0</v>
      </c>
      <c r="O23" s="285">
        <f t="shared" si="0"/>
        <v>0</v>
      </c>
    </row>
    <row r="24" spans="1:15" ht="16.5" customHeight="1" hidden="1">
      <c r="A24" s="519"/>
      <c r="B24" s="18" t="s">
        <v>303</v>
      </c>
      <c r="C24" s="8" t="s">
        <v>304</v>
      </c>
      <c r="D24" s="8">
        <v>21825</v>
      </c>
      <c r="E24" s="8">
        <v>4654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/>
      <c r="L24" s="8" t="e">
        <f>#REF!</f>
        <v>#REF!</v>
      </c>
      <c r="M24" s="24">
        <v>0</v>
      </c>
      <c r="N24" s="24">
        <v>0</v>
      </c>
      <c r="O24" s="285">
        <f t="shared" si="0"/>
        <v>0</v>
      </c>
    </row>
    <row r="25" spans="1:15" ht="27.75" customHeight="1" hidden="1">
      <c r="A25" s="26" t="s">
        <v>76</v>
      </c>
      <c r="B25" s="27"/>
      <c r="C25" s="4" t="s">
        <v>77</v>
      </c>
      <c r="D25" s="7"/>
      <c r="E25" s="7"/>
      <c r="F25" s="7"/>
      <c r="G25" s="7"/>
      <c r="H25" s="7">
        <f aca="true" t="shared" si="2" ref="H25:N25">H26</f>
        <v>0</v>
      </c>
      <c r="I25" s="7">
        <f t="shared" si="2"/>
        <v>0</v>
      </c>
      <c r="J25" s="7">
        <f t="shared" si="2"/>
        <v>0</v>
      </c>
      <c r="K25" s="7"/>
      <c r="L25" s="7" t="e">
        <f t="shared" si="2"/>
        <v>#REF!</v>
      </c>
      <c r="M25" s="7">
        <f t="shared" si="2"/>
        <v>0</v>
      </c>
      <c r="N25" s="7">
        <f t="shared" si="2"/>
        <v>0</v>
      </c>
      <c r="O25" s="285">
        <f t="shared" si="0"/>
        <v>0</v>
      </c>
    </row>
    <row r="26" spans="1:15" ht="18.75" customHeight="1" hidden="1">
      <c r="A26" s="26"/>
      <c r="B26" s="31" t="s">
        <v>291</v>
      </c>
      <c r="C26" s="29" t="s">
        <v>292</v>
      </c>
      <c r="D26" s="20"/>
      <c r="E26" s="20"/>
      <c r="F26" s="20"/>
      <c r="G26" s="20"/>
      <c r="H26" s="20">
        <v>0</v>
      </c>
      <c r="I26" s="20">
        <v>0</v>
      </c>
      <c r="J26" s="20">
        <v>0</v>
      </c>
      <c r="K26" s="20"/>
      <c r="L26" s="20" t="e">
        <f>#REF!</f>
        <v>#REF!</v>
      </c>
      <c r="M26" s="24">
        <v>0</v>
      </c>
      <c r="N26" s="24">
        <v>0</v>
      </c>
      <c r="O26" s="285">
        <f t="shared" si="0"/>
        <v>0</v>
      </c>
    </row>
    <row r="27" spans="1:15" ht="21" customHeight="1">
      <c r="A27" s="317" t="s">
        <v>305</v>
      </c>
      <c r="B27" s="330"/>
      <c r="C27" s="331" t="s">
        <v>825</v>
      </c>
      <c r="D27" s="278">
        <f aca="true" t="shared" si="3" ref="D27:N27">D28</f>
        <v>0</v>
      </c>
      <c r="E27" s="278">
        <f t="shared" si="3"/>
        <v>37400</v>
      </c>
      <c r="F27" s="278">
        <f t="shared" si="3"/>
        <v>0</v>
      </c>
      <c r="G27" s="278">
        <f t="shared" si="3"/>
        <v>0</v>
      </c>
      <c r="H27" s="278">
        <f t="shared" si="3"/>
        <v>45000</v>
      </c>
      <c r="I27" s="278">
        <f t="shared" si="3"/>
        <v>0</v>
      </c>
      <c r="J27" s="278">
        <f t="shared" si="3"/>
        <v>0</v>
      </c>
      <c r="K27" s="278">
        <f t="shared" si="3"/>
        <v>30000</v>
      </c>
      <c r="L27" s="278">
        <f t="shared" si="3"/>
        <v>30000</v>
      </c>
      <c r="M27" s="274">
        <f t="shared" si="3"/>
        <v>0</v>
      </c>
      <c r="N27" s="274">
        <f t="shared" si="3"/>
        <v>0</v>
      </c>
      <c r="O27" s="332">
        <f t="shared" si="0"/>
        <v>0.000933568451510548</v>
      </c>
    </row>
    <row r="28" spans="1:15" ht="15.75" customHeight="1">
      <c r="A28" s="23"/>
      <c r="B28" s="18" t="s">
        <v>297</v>
      </c>
      <c r="C28" s="11" t="s">
        <v>298</v>
      </c>
      <c r="D28" s="8">
        <v>0</v>
      </c>
      <c r="E28" s="8">
        <v>37400</v>
      </c>
      <c r="F28" s="8">
        <v>0</v>
      </c>
      <c r="G28" s="8">
        <v>0</v>
      </c>
      <c r="H28" s="8">
        <v>45000</v>
      </c>
      <c r="I28" s="8">
        <v>0</v>
      </c>
      <c r="J28" s="8">
        <v>0</v>
      </c>
      <c r="K28" s="8">
        <v>30000</v>
      </c>
      <c r="L28" s="8">
        <f>K28</f>
        <v>30000</v>
      </c>
      <c r="M28" s="24">
        <v>0</v>
      </c>
      <c r="N28" s="24">
        <v>0</v>
      </c>
      <c r="O28" s="297">
        <f t="shared" si="0"/>
        <v>0.000933568451510548</v>
      </c>
    </row>
    <row r="29" spans="1:15" ht="15.75" customHeight="1">
      <c r="A29" s="317" t="s">
        <v>861</v>
      </c>
      <c r="B29" s="330"/>
      <c r="C29" s="316" t="s">
        <v>357</v>
      </c>
      <c r="D29" s="278"/>
      <c r="E29" s="278"/>
      <c r="F29" s="278"/>
      <c r="G29" s="278"/>
      <c r="H29" s="278">
        <f aca="true" t="shared" si="4" ref="H29:N29">H30</f>
        <v>1200</v>
      </c>
      <c r="I29" s="278">
        <f t="shared" si="4"/>
        <v>0</v>
      </c>
      <c r="J29" s="278">
        <f t="shared" si="4"/>
        <v>0</v>
      </c>
      <c r="K29" s="278">
        <f t="shared" si="4"/>
        <v>1700</v>
      </c>
      <c r="L29" s="278">
        <f t="shared" si="4"/>
        <v>0</v>
      </c>
      <c r="M29" s="278">
        <f t="shared" si="4"/>
        <v>0</v>
      </c>
      <c r="N29" s="278">
        <f t="shared" si="4"/>
        <v>1700</v>
      </c>
      <c r="O29" s="332">
        <f aca="true" t="shared" si="5" ref="O29:O60">K29/$K$616</f>
        <v>5.2902212252264385E-05</v>
      </c>
    </row>
    <row r="30" spans="1:15" ht="24" customHeight="1">
      <c r="A30" s="23"/>
      <c r="B30" s="18" t="s">
        <v>344</v>
      </c>
      <c r="C30" s="11" t="s">
        <v>171</v>
      </c>
      <c r="D30" s="8"/>
      <c r="E30" s="8"/>
      <c r="F30" s="8"/>
      <c r="G30" s="8"/>
      <c r="H30" s="8">
        <v>1200</v>
      </c>
      <c r="I30" s="8">
        <v>0</v>
      </c>
      <c r="J30" s="8">
        <v>0</v>
      </c>
      <c r="K30" s="8">
        <v>1700</v>
      </c>
      <c r="L30" s="8">
        <v>0</v>
      </c>
      <c r="M30" s="24">
        <v>0</v>
      </c>
      <c r="N30" s="24">
        <f>K30</f>
        <v>1700</v>
      </c>
      <c r="O30" s="240">
        <f t="shared" si="5"/>
        <v>5.2902212252264385E-05</v>
      </c>
    </row>
    <row r="31" spans="1:15" s="286" customFormat="1" ht="15" customHeight="1">
      <c r="A31" s="287" t="s">
        <v>306</v>
      </c>
      <c r="B31" s="523"/>
      <c r="C31" s="288" t="s">
        <v>307</v>
      </c>
      <c r="D31" s="288">
        <f aca="true" t="shared" si="6" ref="D31:G32">D32</f>
        <v>29992</v>
      </c>
      <c r="E31" s="288">
        <f t="shared" si="6"/>
        <v>21000</v>
      </c>
      <c r="F31" s="288">
        <f t="shared" si="6"/>
        <v>0</v>
      </c>
      <c r="G31" s="288">
        <f t="shared" si="6"/>
        <v>0</v>
      </c>
      <c r="H31" s="288">
        <f aca="true" t="shared" si="7" ref="H31:N31">H32+H34</f>
        <v>94025</v>
      </c>
      <c r="I31" s="288">
        <f t="shared" si="7"/>
        <v>0</v>
      </c>
      <c r="J31" s="288">
        <f t="shared" si="7"/>
        <v>0</v>
      </c>
      <c r="K31" s="288">
        <f t="shared" si="7"/>
        <v>153909</v>
      </c>
      <c r="L31" s="288">
        <f t="shared" si="7"/>
        <v>0</v>
      </c>
      <c r="M31" s="288">
        <f t="shared" si="7"/>
        <v>153909</v>
      </c>
      <c r="N31" s="288">
        <f t="shared" si="7"/>
        <v>0</v>
      </c>
      <c r="O31" s="285">
        <f t="shared" si="5"/>
        <v>0.004789486226784564</v>
      </c>
    </row>
    <row r="32" spans="1:15" ht="13.5" customHeight="1">
      <c r="A32" s="17" t="s">
        <v>82</v>
      </c>
      <c r="B32" s="523"/>
      <c r="C32" s="7" t="s">
        <v>81</v>
      </c>
      <c r="D32" s="7">
        <f t="shared" si="6"/>
        <v>29992</v>
      </c>
      <c r="E32" s="7">
        <f t="shared" si="6"/>
        <v>21000</v>
      </c>
      <c r="F32" s="7">
        <f t="shared" si="6"/>
        <v>0</v>
      </c>
      <c r="G32" s="7">
        <f t="shared" si="6"/>
        <v>0</v>
      </c>
      <c r="H32" s="7">
        <f aca="true" t="shared" si="8" ref="H32:M32">H33</f>
        <v>83025</v>
      </c>
      <c r="I32" s="7">
        <f t="shared" si="8"/>
        <v>0</v>
      </c>
      <c r="J32" s="7">
        <f t="shared" si="8"/>
        <v>0</v>
      </c>
      <c r="K32" s="7">
        <f t="shared" si="8"/>
        <v>141159</v>
      </c>
      <c r="L32" s="7">
        <f t="shared" si="8"/>
        <v>0</v>
      </c>
      <c r="M32" s="19">
        <f t="shared" si="8"/>
        <v>141159</v>
      </c>
      <c r="N32" s="19">
        <f>N33</f>
        <v>0</v>
      </c>
      <c r="O32" s="240">
        <f t="shared" si="5"/>
        <v>0.004392719634892581</v>
      </c>
    </row>
    <row r="33" spans="1:15" ht="16.5" customHeight="1">
      <c r="A33" s="28"/>
      <c r="B33" s="18" t="s">
        <v>279</v>
      </c>
      <c r="C33" s="8" t="s">
        <v>348</v>
      </c>
      <c r="D33" s="8">
        <v>29992</v>
      </c>
      <c r="E33" s="8">
        <v>21000</v>
      </c>
      <c r="F33" s="8">
        <v>0</v>
      </c>
      <c r="G33" s="8">
        <v>0</v>
      </c>
      <c r="H33" s="8">
        <v>83025</v>
      </c>
      <c r="I33" s="8">
        <v>0</v>
      </c>
      <c r="J33" s="8">
        <v>0</v>
      </c>
      <c r="K33" s="8">
        <v>141159</v>
      </c>
      <c r="L33" s="8">
        <v>0</v>
      </c>
      <c r="M33" s="24">
        <f>K33</f>
        <v>141159</v>
      </c>
      <c r="N33" s="24">
        <v>0</v>
      </c>
      <c r="O33" s="240">
        <f t="shared" si="5"/>
        <v>0.004392719634892581</v>
      </c>
    </row>
    <row r="34" spans="1:15" ht="16.5" customHeight="1">
      <c r="A34" s="17" t="s">
        <v>308</v>
      </c>
      <c r="B34" s="18"/>
      <c r="C34" s="7" t="s">
        <v>309</v>
      </c>
      <c r="D34" s="8"/>
      <c r="E34" s="8"/>
      <c r="F34" s="8"/>
      <c r="G34" s="8"/>
      <c r="H34" s="7">
        <f aca="true" t="shared" si="9" ref="H34:N34">H36+H35</f>
        <v>11000</v>
      </c>
      <c r="I34" s="7">
        <f t="shared" si="9"/>
        <v>0</v>
      </c>
      <c r="J34" s="7">
        <f t="shared" si="9"/>
        <v>0</v>
      </c>
      <c r="K34" s="7">
        <f t="shared" si="9"/>
        <v>12750</v>
      </c>
      <c r="L34" s="7">
        <f t="shared" si="9"/>
        <v>0</v>
      </c>
      <c r="M34" s="7">
        <f t="shared" si="9"/>
        <v>12750</v>
      </c>
      <c r="N34" s="7">
        <f t="shared" si="9"/>
        <v>0</v>
      </c>
      <c r="O34" s="240">
        <f t="shared" si="5"/>
        <v>0.0003967665918919829</v>
      </c>
    </row>
    <row r="35" spans="1:15" ht="16.5" customHeight="1">
      <c r="A35" s="17"/>
      <c r="B35" s="18" t="s">
        <v>291</v>
      </c>
      <c r="C35" s="20" t="s">
        <v>292</v>
      </c>
      <c r="D35" s="20"/>
      <c r="E35" s="20"/>
      <c r="F35" s="20"/>
      <c r="G35" s="20"/>
      <c r="H35" s="20">
        <v>942</v>
      </c>
      <c r="I35" s="8">
        <v>0</v>
      </c>
      <c r="J35" s="8">
        <v>0</v>
      </c>
      <c r="K35" s="8">
        <v>0</v>
      </c>
      <c r="L35" s="20">
        <v>0</v>
      </c>
      <c r="M35" s="20">
        <f>K35</f>
        <v>0</v>
      </c>
      <c r="N35" s="20">
        <v>0</v>
      </c>
      <c r="O35" s="240">
        <f t="shared" si="5"/>
        <v>0</v>
      </c>
    </row>
    <row r="36" spans="1:15" ht="16.5" customHeight="1">
      <c r="A36" s="28"/>
      <c r="B36" s="18" t="s">
        <v>297</v>
      </c>
      <c r="C36" s="8" t="s">
        <v>298</v>
      </c>
      <c r="D36" s="8"/>
      <c r="E36" s="8"/>
      <c r="F36" s="8"/>
      <c r="G36" s="8"/>
      <c r="H36" s="8">
        <v>10058</v>
      </c>
      <c r="I36" s="8">
        <v>0</v>
      </c>
      <c r="J36" s="8">
        <v>0</v>
      </c>
      <c r="K36" s="8">
        <v>12750</v>
      </c>
      <c r="L36" s="8">
        <v>0</v>
      </c>
      <c r="M36" s="24">
        <f>K36</f>
        <v>12750</v>
      </c>
      <c r="N36" s="24">
        <v>0</v>
      </c>
      <c r="O36" s="240">
        <f t="shared" si="5"/>
        <v>0.0003967665918919829</v>
      </c>
    </row>
    <row r="37" spans="1:15" s="286" customFormat="1" ht="17.25" customHeight="1">
      <c r="A37" s="287" t="s">
        <v>310</v>
      </c>
      <c r="B37" s="289"/>
      <c r="C37" s="288" t="s">
        <v>311</v>
      </c>
      <c r="D37" s="288" t="e">
        <f aca="true" t="shared" si="10" ref="D37:M37">D38</f>
        <v>#REF!</v>
      </c>
      <c r="E37" s="288" t="e">
        <f t="shared" si="10"/>
        <v>#REF!</v>
      </c>
      <c r="F37" s="288" t="e">
        <f t="shared" si="10"/>
        <v>#REF!</v>
      </c>
      <c r="G37" s="288" t="e">
        <f t="shared" si="10"/>
        <v>#REF!</v>
      </c>
      <c r="H37" s="288" t="e">
        <f t="shared" si="10"/>
        <v>#REF!</v>
      </c>
      <c r="I37" s="288" t="e">
        <f t="shared" si="10"/>
        <v>#REF!</v>
      </c>
      <c r="J37" s="288" t="e">
        <f t="shared" si="10"/>
        <v>#REF!</v>
      </c>
      <c r="K37" s="288">
        <f t="shared" si="10"/>
        <v>4044080</v>
      </c>
      <c r="L37" s="288">
        <f t="shared" si="10"/>
        <v>0</v>
      </c>
      <c r="M37" s="290">
        <f t="shared" si="10"/>
        <v>3994080</v>
      </c>
      <c r="N37" s="290">
        <f>N38</f>
        <v>50000</v>
      </c>
      <c r="O37" s="285">
        <f t="shared" si="5"/>
        <v>0.12584751677949257</v>
      </c>
    </row>
    <row r="38" spans="1:15" ht="14.25" customHeight="1">
      <c r="A38" s="17" t="s">
        <v>312</v>
      </c>
      <c r="B38" s="18"/>
      <c r="C38" s="7" t="s">
        <v>313</v>
      </c>
      <c r="D38" s="7" t="e">
        <f>D41+D42+D43+D40+#REF!+D56</f>
        <v>#REF!</v>
      </c>
      <c r="E38" s="7" t="e">
        <f>E41+E42+E43+E44+E40+#REF!+E46+E47+E48+E49+E51+E52+E53+E54+#REF!+E55+E56+#REF!</f>
        <v>#REF!</v>
      </c>
      <c r="F38" s="7" t="e">
        <f>F41+F42+F43+F44+F40+#REF!+F46+F47+F48+F49+F51+F52+F53+F54+F55+F56+#REF!+#REF!</f>
        <v>#REF!</v>
      </c>
      <c r="G38" s="7" t="e">
        <f>G41+G42+G43+G44+G40+#REF!+G46+G47+G48+G49+G51+G52+G53+G54+G55+G56+#REF!+#REF!</f>
        <v>#REF!</v>
      </c>
      <c r="H38" s="7" t="e">
        <f>H41+H42+H43+H44+H40+#REF!+H46+H47+H48+H49+H51+H52+H53+H54+H55+H56+#REF!+#REF!+H59+H39+#REF!</f>
        <v>#REF!</v>
      </c>
      <c r="I38" s="7" t="e">
        <f>I41+I42+I43+I44+I40+#REF!+I46+I47+I48+I49+I51+I52+I53+I54+I55+I56+#REF!+#REF!+I59+I39+#REF!</f>
        <v>#REF!</v>
      </c>
      <c r="J38" s="7" t="e">
        <f>J41+J42+J43+J44+J40+#REF!+J46+J47+J48+J49+J51+J52+J53+J54+J55+J56+#REF!+#REF!+J59+J39+#REF!</f>
        <v>#REF!</v>
      </c>
      <c r="K38" s="7">
        <f>SUM(K39:K58)</f>
        <v>4044080</v>
      </c>
      <c r="L38" s="7">
        <f>L41+L42+L43+L44+L45+L40+L46+L47+L48+L49+L50+L51+L52+L53+L54+L55+L57+L58+L59+L39</f>
        <v>0</v>
      </c>
      <c r="M38" s="7">
        <f>M39+M40+M41+M42+M43+M44+M45+M46+M47+M48+M49+M50+M51+M52+M53+M54+M55+M56+M57+M58+M59</f>
        <v>3994080</v>
      </c>
      <c r="N38" s="7">
        <f>N39+N40+N41+N42+N43+N44+N45+N46+N47+N48+N49+N50+N51+N52+N53+N54+N55+N56+N57+N58+N59</f>
        <v>50000</v>
      </c>
      <c r="O38" s="240">
        <f t="shared" si="5"/>
        <v>0.12584751677949257</v>
      </c>
    </row>
    <row r="39" spans="1:15" ht="13.5" customHeight="1">
      <c r="A39" s="23"/>
      <c r="B39" s="18" t="s">
        <v>344</v>
      </c>
      <c r="C39" s="11" t="s">
        <v>345</v>
      </c>
      <c r="D39" s="8"/>
      <c r="E39" s="20"/>
      <c r="F39" s="20"/>
      <c r="G39" s="20"/>
      <c r="H39" s="20">
        <v>40000</v>
      </c>
      <c r="I39" s="8">
        <v>0</v>
      </c>
      <c r="J39" s="8">
        <v>0</v>
      </c>
      <c r="K39" s="8">
        <v>50000</v>
      </c>
      <c r="L39" s="8">
        <v>0</v>
      </c>
      <c r="M39" s="21">
        <v>0</v>
      </c>
      <c r="N39" s="24">
        <f>K39</f>
        <v>50000</v>
      </c>
      <c r="O39" s="240">
        <f t="shared" si="5"/>
        <v>0.0015559474191842466</v>
      </c>
    </row>
    <row r="40" spans="1:15" s="280" customFormat="1" ht="14.25" customHeight="1">
      <c r="A40" s="23"/>
      <c r="B40" s="18" t="s">
        <v>269</v>
      </c>
      <c r="C40" s="279" t="s">
        <v>317</v>
      </c>
      <c r="D40" s="279">
        <v>1296250</v>
      </c>
      <c r="E40" s="126">
        <v>4000</v>
      </c>
      <c r="F40" s="126">
        <v>0</v>
      </c>
      <c r="G40" s="126">
        <v>0</v>
      </c>
      <c r="H40" s="126">
        <v>6000</v>
      </c>
      <c r="I40" s="279">
        <v>0</v>
      </c>
      <c r="J40" s="279">
        <v>0</v>
      </c>
      <c r="K40" s="279">
        <v>4000</v>
      </c>
      <c r="L40" s="279">
        <v>0</v>
      </c>
      <c r="M40" s="24">
        <f>K40</f>
        <v>4000</v>
      </c>
      <c r="N40" s="24">
        <v>0</v>
      </c>
      <c r="O40" s="240">
        <f t="shared" si="5"/>
        <v>0.00012447579353473974</v>
      </c>
    </row>
    <row r="41" spans="1:15" ht="15" customHeight="1">
      <c r="A41" s="23"/>
      <c r="B41" s="18" t="s">
        <v>281</v>
      </c>
      <c r="C41" s="11" t="s">
        <v>282</v>
      </c>
      <c r="D41" s="8">
        <v>580000</v>
      </c>
      <c r="E41" s="8">
        <v>599500</v>
      </c>
      <c r="F41" s="8">
        <v>0</v>
      </c>
      <c r="G41" s="8">
        <v>0</v>
      </c>
      <c r="H41" s="8">
        <v>356415</v>
      </c>
      <c r="I41" s="8">
        <v>0</v>
      </c>
      <c r="J41" s="8">
        <v>0</v>
      </c>
      <c r="K41" s="8">
        <v>364907</v>
      </c>
      <c r="L41" s="8">
        <v>0</v>
      </c>
      <c r="M41" s="24">
        <f>K41</f>
        <v>364907</v>
      </c>
      <c r="N41" s="24">
        <v>0</v>
      </c>
      <c r="O41" s="240">
        <f t="shared" si="5"/>
        <v>0.011355522097845318</v>
      </c>
    </row>
    <row r="42" spans="1:15" ht="15.75" customHeight="1">
      <c r="A42" s="23"/>
      <c r="B42" s="18" t="s">
        <v>285</v>
      </c>
      <c r="C42" s="11" t="s">
        <v>286</v>
      </c>
      <c r="D42" s="8">
        <v>37980</v>
      </c>
      <c r="E42" s="8">
        <v>46300</v>
      </c>
      <c r="F42" s="8">
        <v>0</v>
      </c>
      <c r="G42" s="8">
        <v>41</v>
      </c>
      <c r="H42" s="8">
        <v>33240</v>
      </c>
      <c r="I42" s="8">
        <v>0</v>
      </c>
      <c r="J42" s="8">
        <v>0</v>
      </c>
      <c r="K42" s="8">
        <v>27054</v>
      </c>
      <c r="L42" s="8">
        <v>0</v>
      </c>
      <c r="M42" s="24">
        <f aca="true" t="shared" si="11" ref="M42:M56">K42</f>
        <v>27054</v>
      </c>
      <c r="N42" s="24">
        <v>0</v>
      </c>
      <c r="O42" s="240">
        <f t="shared" si="5"/>
        <v>0.0008418920295722122</v>
      </c>
    </row>
    <row r="43" spans="1:15" ht="15" customHeight="1">
      <c r="A43" s="23"/>
      <c r="B43" s="25" t="s">
        <v>314</v>
      </c>
      <c r="C43" s="11" t="s">
        <v>315</v>
      </c>
      <c r="D43" s="8">
        <v>121770</v>
      </c>
      <c r="E43" s="8">
        <v>110000</v>
      </c>
      <c r="F43" s="8">
        <v>0</v>
      </c>
      <c r="G43" s="8">
        <v>1150</v>
      </c>
      <c r="H43" s="8">
        <v>73348</v>
      </c>
      <c r="I43" s="8">
        <v>0</v>
      </c>
      <c r="J43" s="8">
        <v>0</v>
      </c>
      <c r="K43" s="8">
        <v>67912</v>
      </c>
      <c r="L43" s="8">
        <v>0</v>
      </c>
      <c r="M43" s="24">
        <f t="shared" si="11"/>
        <v>67912</v>
      </c>
      <c r="N43" s="24">
        <v>0</v>
      </c>
      <c r="O43" s="240">
        <f t="shared" si="5"/>
        <v>0.0021133500226328114</v>
      </c>
    </row>
    <row r="44" spans="1:15" ht="14.25" customHeight="1">
      <c r="A44" s="23"/>
      <c r="B44" s="25" t="s">
        <v>289</v>
      </c>
      <c r="C44" s="11" t="s">
        <v>290</v>
      </c>
      <c r="D44" s="8"/>
      <c r="E44" s="8">
        <v>12400</v>
      </c>
      <c r="F44" s="8">
        <v>2500</v>
      </c>
      <c r="G44" s="8">
        <v>0</v>
      </c>
      <c r="H44" s="8">
        <v>10132</v>
      </c>
      <c r="I44" s="8">
        <v>0</v>
      </c>
      <c r="J44" s="8">
        <v>0</v>
      </c>
      <c r="K44" s="8">
        <v>9385</v>
      </c>
      <c r="L44" s="8">
        <v>0</v>
      </c>
      <c r="M44" s="24">
        <f t="shared" si="11"/>
        <v>9385</v>
      </c>
      <c r="N44" s="24">
        <v>0</v>
      </c>
      <c r="O44" s="240">
        <f t="shared" si="5"/>
        <v>0.0002920513305808831</v>
      </c>
    </row>
    <row r="45" spans="1:15" ht="12.75" customHeight="1">
      <c r="A45" s="23"/>
      <c r="B45" s="25" t="s">
        <v>37</v>
      </c>
      <c r="C45" s="11" t="s">
        <v>52</v>
      </c>
      <c r="D45" s="8"/>
      <c r="E45" s="8"/>
      <c r="F45" s="8"/>
      <c r="G45" s="8"/>
      <c r="H45" s="8"/>
      <c r="I45" s="8"/>
      <c r="J45" s="8"/>
      <c r="K45" s="8">
        <v>25000</v>
      </c>
      <c r="L45" s="8">
        <v>0</v>
      </c>
      <c r="M45" s="24">
        <f>K45</f>
        <v>25000</v>
      </c>
      <c r="N45" s="24">
        <v>0</v>
      </c>
      <c r="O45" s="240">
        <f t="shared" si="5"/>
        <v>0.0007779737095921233</v>
      </c>
    </row>
    <row r="46" spans="1:15" ht="12.75" customHeight="1">
      <c r="A46" s="23"/>
      <c r="B46" s="18" t="s">
        <v>291</v>
      </c>
      <c r="C46" s="29" t="s">
        <v>318</v>
      </c>
      <c r="D46" s="8"/>
      <c r="E46" s="20">
        <v>130378</v>
      </c>
      <c r="F46" s="20">
        <v>40000</v>
      </c>
      <c r="G46" s="20">
        <v>0</v>
      </c>
      <c r="H46" s="20">
        <v>140000</v>
      </c>
      <c r="I46" s="8">
        <v>0</v>
      </c>
      <c r="J46" s="8">
        <v>0</v>
      </c>
      <c r="K46" s="8">
        <v>200260</v>
      </c>
      <c r="L46" s="8">
        <v>0</v>
      </c>
      <c r="M46" s="24">
        <f t="shared" si="11"/>
        <v>200260</v>
      </c>
      <c r="N46" s="24">
        <v>0</v>
      </c>
      <c r="O46" s="240">
        <f t="shared" si="5"/>
        <v>0.006231880603316745</v>
      </c>
    </row>
    <row r="47" spans="1:15" ht="13.5" customHeight="1">
      <c r="A47" s="23"/>
      <c r="B47" s="18" t="s">
        <v>293</v>
      </c>
      <c r="C47" s="29" t="s">
        <v>294</v>
      </c>
      <c r="D47" s="8"/>
      <c r="E47" s="20">
        <v>33000</v>
      </c>
      <c r="F47" s="20">
        <v>5000</v>
      </c>
      <c r="G47" s="20">
        <v>0</v>
      </c>
      <c r="H47" s="20">
        <v>30000</v>
      </c>
      <c r="I47" s="8">
        <v>0</v>
      </c>
      <c r="J47" s="8">
        <v>0</v>
      </c>
      <c r="K47" s="8">
        <v>31100</v>
      </c>
      <c r="L47" s="8">
        <v>0</v>
      </c>
      <c r="M47" s="24">
        <f t="shared" si="11"/>
        <v>31100</v>
      </c>
      <c r="N47" s="24">
        <v>0</v>
      </c>
      <c r="O47" s="240">
        <f t="shared" si="5"/>
        <v>0.0009677992947326014</v>
      </c>
    </row>
    <row r="48" spans="1:15" ht="13.5" customHeight="1">
      <c r="A48" s="23"/>
      <c r="B48" s="18" t="s">
        <v>295</v>
      </c>
      <c r="C48" s="29" t="s">
        <v>296</v>
      </c>
      <c r="D48" s="8"/>
      <c r="E48" s="20">
        <v>613990</v>
      </c>
      <c r="F48" s="20">
        <v>0</v>
      </c>
      <c r="G48" s="20">
        <v>500000</v>
      </c>
      <c r="H48" s="20">
        <v>7000</v>
      </c>
      <c r="I48" s="8">
        <v>0</v>
      </c>
      <c r="J48" s="8">
        <v>0</v>
      </c>
      <c r="K48" s="8">
        <v>67000</v>
      </c>
      <c r="L48" s="8">
        <v>0</v>
      </c>
      <c r="M48" s="24">
        <f t="shared" si="11"/>
        <v>67000</v>
      </c>
      <c r="N48" s="24">
        <v>0</v>
      </c>
      <c r="O48" s="240">
        <f t="shared" si="5"/>
        <v>0.0020849695417068906</v>
      </c>
    </row>
    <row r="49" spans="1:15" ht="14.25" customHeight="1">
      <c r="A49" s="23"/>
      <c r="B49" s="18" t="s">
        <v>297</v>
      </c>
      <c r="C49" s="29" t="s">
        <v>298</v>
      </c>
      <c r="D49" s="8"/>
      <c r="E49" s="20">
        <v>828700</v>
      </c>
      <c r="F49" s="20">
        <v>0</v>
      </c>
      <c r="G49" s="20">
        <v>142451</v>
      </c>
      <c r="H49" s="20">
        <v>412661</v>
      </c>
      <c r="I49" s="8">
        <v>0</v>
      </c>
      <c r="J49" s="8">
        <v>0</v>
      </c>
      <c r="K49" s="8">
        <v>326244</v>
      </c>
      <c r="L49" s="8">
        <v>0</v>
      </c>
      <c r="M49" s="24">
        <f t="shared" si="11"/>
        <v>326244</v>
      </c>
      <c r="N49" s="24">
        <v>0</v>
      </c>
      <c r="O49" s="240">
        <f t="shared" si="5"/>
        <v>0.010152370196486907</v>
      </c>
    </row>
    <row r="50" spans="1:15" ht="14.25" customHeight="1">
      <c r="A50" s="23"/>
      <c r="B50" s="18" t="s">
        <v>53</v>
      </c>
      <c r="C50" s="29" t="s">
        <v>54</v>
      </c>
      <c r="D50" s="8"/>
      <c r="E50" s="20"/>
      <c r="F50" s="20"/>
      <c r="G50" s="20"/>
      <c r="H50" s="20"/>
      <c r="I50" s="8"/>
      <c r="J50" s="8"/>
      <c r="K50" s="8">
        <v>3700</v>
      </c>
      <c r="L50" s="8">
        <v>0</v>
      </c>
      <c r="M50" s="24">
        <f>K50</f>
        <v>3700</v>
      </c>
      <c r="N50" s="24">
        <v>0</v>
      </c>
      <c r="O50" s="240">
        <f t="shared" si="5"/>
        <v>0.00011514010901963425</v>
      </c>
    </row>
    <row r="51" spans="1:15" ht="14.25" customHeight="1">
      <c r="A51" s="23"/>
      <c r="B51" s="18" t="s">
        <v>299</v>
      </c>
      <c r="C51" s="29" t="s">
        <v>300</v>
      </c>
      <c r="D51" s="8"/>
      <c r="E51" s="20">
        <v>660</v>
      </c>
      <c r="F51" s="20">
        <v>0</v>
      </c>
      <c r="G51" s="20">
        <v>300</v>
      </c>
      <c r="H51" s="20">
        <v>500</v>
      </c>
      <c r="I51" s="8">
        <v>0</v>
      </c>
      <c r="J51" s="8">
        <v>0</v>
      </c>
      <c r="K51" s="8">
        <v>1500</v>
      </c>
      <c r="L51" s="8">
        <v>0</v>
      </c>
      <c r="M51" s="24">
        <f t="shared" si="11"/>
        <v>1500</v>
      </c>
      <c r="N51" s="24">
        <v>0</v>
      </c>
      <c r="O51" s="240">
        <f t="shared" si="5"/>
        <v>4.66784225755274E-05</v>
      </c>
    </row>
    <row r="52" spans="1:15" ht="15.75" customHeight="1">
      <c r="A52" s="23"/>
      <c r="B52" s="18" t="s">
        <v>301</v>
      </c>
      <c r="C52" s="29" t="s">
        <v>302</v>
      </c>
      <c r="D52" s="8"/>
      <c r="E52" s="20">
        <v>23000</v>
      </c>
      <c r="F52" s="20">
        <v>500</v>
      </c>
      <c r="G52" s="20">
        <v>0</v>
      </c>
      <c r="H52" s="20">
        <v>15412</v>
      </c>
      <c r="I52" s="8">
        <v>0</v>
      </c>
      <c r="J52" s="8">
        <v>0</v>
      </c>
      <c r="K52" s="8">
        <v>2000</v>
      </c>
      <c r="L52" s="8">
        <v>0</v>
      </c>
      <c r="M52" s="24">
        <f t="shared" si="11"/>
        <v>2000</v>
      </c>
      <c r="N52" s="24">
        <v>0</v>
      </c>
      <c r="O52" s="240">
        <f t="shared" si="5"/>
        <v>6.223789676736987E-05</v>
      </c>
    </row>
    <row r="53" spans="1:15" ht="13.5" customHeight="1">
      <c r="A53" s="23"/>
      <c r="B53" s="18" t="s">
        <v>303</v>
      </c>
      <c r="C53" s="29" t="s">
        <v>304</v>
      </c>
      <c r="D53" s="8"/>
      <c r="E53" s="20">
        <v>14893</v>
      </c>
      <c r="F53" s="20">
        <v>0</v>
      </c>
      <c r="G53" s="20">
        <v>0</v>
      </c>
      <c r="H53" s="20">
        <v>13388</v>
      </c>
      <c r="I53" s="8">
        <v>0</v>
      </c>
      <c r="J53" s="8">
        <v>0</v>
      </c>
      <c r="K53" s="8">
        <v>10913</v>
      </c>
      <c r="L53" s="8">
        <v>0</v>
      </c>
      <c r="M53" s="24">
        <f t="shared" si="11"/>
        <v>10913</v>
      </c>
      <c r="N53" s="24">
        <v>0</v>
      </c>
      <c r="O53" s="240">
        <f t="shared" si="5"/>
        <v>0.00033960108371115365</v>
      </c>
    </row>
    <row r="54" spans="1:15" ht="13.5" customHeight="1">
      <c r="A54" s="23"/>
      <c r="B54" s="18" t="s">
        <v>319</v>
      </c>
      <c r="C54" s="29" t="s">
        <v>320</v>
      </c>
      <c r="D54" s="8"/>
      <c r="E54" s="20">
        <v>8147</v>
      </c>
      <c r="F54" s="20">
        <v>0</v>
      </c>
      <c r="G54" s="20">
        <v>0</v>
      </c>
      <c r="H54" s="20">
        <v>7500</v>
      </c>
      <c r="I54" s="8">
        <v>0</v>
      </c>
      <c r="J54" s="8">
        <v>0</v>
      </c>
      <c r="K54" s="8">
        <v>9431</v>
      </c>
      <c r="L54" s="8">
        <v>0</v>
      </c>
      <c r="M54" s="24">
        <f t="shared" si="11"/>
        <v>9431</v>
      </c>
      <c r="N54" s="24">
        <v>0</v>
      </c>
      <c r="O54" s="240">
        <f t="shared" si="5"/>
        <v>0.0002934828022065326</v>
      </c>
    </row>
    <row r="55" spans="1:15" ht="12.75" customHeight="1">
      <c r="A55" s="23"/>
      <c r="B55" s="18" t="s">
        <v>321</v>
      </c>
      <c r="C55" s="11" t="s">
        <v>322</v>
      </c>
      <c r="D55" s="8"/>
      <c r="E55" s="20">
        <v>132020</v>
      </c>
      <c r="F55" s="20">
        <v>700000</v>
      </c>
      <c r="G55" s="20">
        <v>0</v>
      </c>
      <c r="H55" s="20">
        <v>2525825</v>
      </c>
      <c r="I55" s="8">
        <v>0</v>
      </c>
      <c r="J55" s="8">
        <v>0</v>
      </c>
      <c r="K55" s="8">
        <v>143000</v>
      </c>
      <c r="L55" s="8">
        <v>0</v>
      </c>
      <c r="M55" s="24">
        <f t="shared" si="11"/>
        <v>143000</v>
      </c>
      <c r="N55" s="24">
        <v>0</v>
      </c>
      <c r="O55" s="240">
        <f t="shared" si="5"/>
        <v>0.004450009618866945</v>
      </c>
    </row>
    <row r="56" spans="1:15" ht="14.25" customHeight="1">
      <c r="A56" s="23"/>
      <c r="B56" s="18" t="s">
        <v>323</v>
      </c>
      <c r="C56" s="11" t="s">
        <v>176</v>
      </c>
      <c r="D56" s="8">
        <v>0</v>
      </c>
      <c r="E56" s="20">
        <v>60000</v>
      </c>
      <c r="F56" s="20">
        <v>0</v>
      </c>
      <c r="G56" s="20">
        <v>3758</v>
      </c>
      <c r="H56" s="20"/>
      <c r="I56" s="8">
        <v>0</v>
      </c>
      <c r="J56" s="8">
        <v>0</v>
      </c>
      <c r="K56" s="8">
        <v>10000</v>
      </c>
      <c r="L56" s="8">
        <v>0</v>
      </c>
      <c r="M56" s="24">
        <f t="shared" si="11"/>
        <v>10000</v>
      </c>
      <c r="N56" s="24">
        <v>0</v>
      </c>
      <c r="O56" s="240">
        <f t="shared" si="5"/>
        <v>0.00031118948383684935</v>
      </c>
    </row>
    <row r="57" spans="1:15" ht="15" customHeight="1">
      <c r="A57" s="23"/>
      <c r="B57" s="18" t="s">
        <v>556</v>
      </c>
      <c r="C57" s="11" t="s">
        <v>660</v>
      </c>
      <c r="D57" s="8"/>
      <c r="E57" s="20"/>
      <c r="F57" s="20"/>
      <c r="G57" s="20"/>
      <c r="H57" s="20"/>
      <c r="I57" s="8"/>
      <c r="J57" s="8"/>
      <c r="K57" s="8">
        <v>1988005</v>
      </c>
      <c r="L57" s="8">
        <v>0</v>
      </c>
      <c r="M57" s="21">
        <f>K57</f>
        <v>1988005</v>
      </c>
      <c r="N57" s="24">
        <v>0</v>
      </c>
      <c r="O57" s="240">
        <f t="shared" si="5"/>
        <v>0.06186462498150756</v>
      </c>
    </row>
    <row r="58" spans="1:15" ht="16.5" customHeight="1">
      <c r="A58" s="23"/>
      <c r="B58" s="18" t="s">
        <v>746</v>
      </c>
      <c r="C58" s="11" t="s">
        <v>660</v>
      </c>
      <c r="D58" s="8"/>
      <c r="E58" s="20"/>
      <c r="F58" s="20"/>
      <c r="G58" s="20"/>
      <c r="H58" s="20"/>
      <c r="I58" s="8"/>
      <c r="J58" s="8"/>
      <c r="K58" s="8">
        <v>702669</v>
      </c>
      <c r="L58" s="8">
        <v>0</v>
      </c>
      <c r="M58" s="21">
        <f>K58</f>
        <v>702669</v>
      </c>
      <c r="N58" s="24">
        <v>0</v>
      </c>
      <c r="O58" s="240">
        <f t="shared" si="5"/>
        <v>0.021866320341815508</v>
      </c>
    </row>
    <row r="59" spans="1:15" ht="30" customHeight="1" hidden="1">
      <c r="A59" s="23"/>
      <c r="B59" s="18" t="s">
        <v>192</v>
      </c>
      <c r="C59" s="11" t="s">
        <v>193</v>
      </c>
      <c r="D59" s="8"/>
      <c r="E59" s="20"/>
      <c r="F59" s="20"/>
      <c r="G59" s="20"/>
      <c r="H59" s="20">
        <v>30892</v>
      </c>
      <c r="I59" s="8">
        <v>0</v>
      </c>
      <c r="J59" s="8">
        <v>0</v>
      </c>
      <c r="K59" s="8">
        <v>0</v>
      </c>
      <c r="L59" s="8">
        <v>0</v>
      </c>
      <c r="M59" s="21">
        <v>0</v>
      </c>
      <c r="N59" s="24">
        <f>K59</f>
        <v>0</v>
      </c>
      <c r="O59" s="240">
        <f t="shared" si="5"/>
        <v>0</v>
      </c>
    </row>
    <row r="60" spans="1:15" ht="12" customHeight="1" hidden="1">
      <c r="A60" s="26" t="s">
        <v>198</v>
      </c>
      <c r="B60" s="27"/>
      <c r="C60" s="4" t="s">
        <v>199</v>
      </c>
      <c r="D60" s="7"/>
      <c r="E60" s="7"/>
      <c r="F60" s="7"/>
      <c r="G60" s="7"/>
      <c r="H60" s="7">
        <f aca="true" t="shared" si="12" ref="H60:J61">H61</f>
        <v>44390</v>
      </c>
      <c r="I60" s="7">
        <f t="shared" si="12"/>
        <v>0</v>
      </c>
      <c r="J60" s="7">
        <f t="shared" si="12"/>
        <v>0</v>
      </c>
      <c r="K60" s="7">
        <f aca="true" t="shared" si="13" ref="K60:N61">K61</f>
        <v>0</v>
      </c>
      <c r="L60" s="7">
        <f t="shared" si="13"/>
        <v>0</v>
      </c>
      <c r="M60" s="7">
        <f t="shared" si="13"/>
        <v>0</v>
      </c>
      <c r="N60" s="7">
        <f t="shared" si="13"/>
        <v>0</v>
      </c>
      <c r="O60" s="240">
        <f t="shared" si="5"/>
        <v>0</v>
      </c>
    </row>
    <row r="61" spans="1:15" ht="0.75" customHeight="1" hidden="1">
      <c r="A61" s="26" t="s">
        <v>200</v>
      </c>
      <c r="B61" s="27"/>
      <c r="C61" s="4" t="s">
        <v>197</v>
      </c>
      <c r="D61" s="7"/>
      <c r="E61" s="7"/>
      <c r="F61" s="7"/>
      <c r="G61" s="7"/>
      <c r="H61" s="7">
        <f t="shared" si="12"/>
        <v>44390</v>
      </c>
      <c r="I61" s="7">
        <v>0</v>
      </c>
      <c r="J61" s="7">
        <v>0</v>
      </c>
      <c r="K61" s="7">
        <f>K62</f>
        <v>0</v>
      </c>
      <c r="L61" s="7">
        <f t="shared" si="13"/>
        <v>0</v>
      </c>
      <c r="M61" s="7">
        <f t="shared" si="13"/>
        <v>0</v>
      </c>
      <c r="N61" s="7">
        <f t="shared" si="13"/>
        <v>0</v>
      </c>
      <c r="O61" s="240">
        <f aca="true" t="shared" si="14" ref="O61:O93">K61/$K$616</f>
        <v>0</v>
      </c>
    </row>
    <row r="62" spans="1:15" ht="0.75" customHeight="1" hidden="1">
      <c r="A62" s="23"/>
      <c r="B62" s="18" t="s">
        <v>324</v>
      </c>
      <c r="C62" s="11" t="s">
        <v>201</v>
      </c>
      <c r="D62" s="8"/>
      <c r="E62" s="20"/>
      <c r="F62" s="20"/>
      <c r="G62" s="20"/>
      <c r="H62" s="20">
        <v>44390</v>
      </c>
      <c r="I62" s="20">
        <v>0</v>
      </c>
      <c r="J62" s="20">
        <v>0</v>
      </c>
      <c r="K62" s="8">
        <v>0</v>
      </c>
      <c r="L62" s="8">
        <v>0</v>
      </c>
      <c r="M62" s="21">
        <v>0</v>
      </c>
      <c r="N62" s="24">
        <f>K62</f>
        <v>0</v>
      </c>
      <c r="O62" s="240">
        <f t="shared" si="14"/>
        <v>0</v>
      </c>
    </row>
    <row r="63" spans="1:15" s="286" customFormat="1" ht="21.75" customHeight="1">
      <c r="A63" s="287" t="s">
        <v>325</v>
      </c>
      <c r="B63" s="291"/>
      <c r="C63" s="292" t="s">
        <v>326</v>
      </c>
      <c r="D63" s="288">
        <f aca="true" t="shared" si="15" ref="D63:N63">D64</f>
        <v>15000</v>
      </c>
      <c r="E63" s="288">
        <f t="shared" si="15"/>
        <v>37000</v>
      </c>
      <c r="F63" s="288">
        <f t="shared" si="15"/>
        <v>3693</v>
      </c>
      <c r="G63" s="288">
        <f t="shared" si="15"/>
        <v>3693</v>
      </c>
      <c r="H63" s="288">
        <f>H64</f>
        <v>87539</v>
      </c>
      <c r="I63" s="288">
        <f>I64</f>
        <v>0</v>
      </c>
      <c r="J63" s="288">
        <f>J64</f>
        <v>0</v>
      </c>
      <c r="K63" s="288">
        <f>K64</f>
        <v>179676</v>
      </c>
      <c r="L63" s="288">
        <f t="shared" si="15"/>
        <v>62000</v>
      </c>
      <c r="M63" s="288">
        <f t="shared" si="15"/>
        <v>117676</v>
      </c>
      <c r="N63" s="290">
        <f t="shared" si="15"/>
        <v>0</v>
      </c>
      <c r="O63" s="285">
        <f t="shared" si="14"/>
        <v>0.005591328169786974</v>
      </c>
    </row>
    <row r="64" spans="1:15" ht="24.75" customHeight="1">
      <c r="A64" s="17" t="s">
        <v>327</v>
      </c>
      <c r="B64" s="18"/>
      <c r="C64" s="4" t="s">
        <v>328</v>
      </c>
      <c r="D64" s="7">
        <f>D68</f>
        <v>15000</v>
      </c>
      <c r="E64" s="7">
        <f>E68+E66</f>
        <v>37000</v>
      </c>
      <c r="F64" s="7">
        <f>F68+F66</f>
        <v>3693</v>
      </c>
      <c r="G64" s="7">
        <f>G68+G66</f>
        <v>3693</v>
      </c>
      <c r="H64" s="7">
        <f>H66+H68+H69+H71+H72+H65+H70</f>
        <v>87539</v>
      </c>
      <c r="I64" s="7">
        <f>I66+I68+I69+I71+I72+I65+I70</f>
        <v>0</v>
      </c>
      <c r="J64" s="7">
        <f>J66+J68+J69+J71+J72+J65+J70</f>
        <v>0</v>
      </c>
      <c r="K64" s="7">
        <f>SUM(K66:K74)</f>
        <v>179676</v>
      </c>
      <c r="L64" s="7">
        <f>L66+L68+L69+L71+L72+L70+L73</f>
        <v>62000</v>
      </c>
      <c r="M64" s="7">
        <f>M66+M67+M68+M69+M71+M72+M70+M73</f>
        <v>117676</v>
      </c>
      <c r="N64" s="7">
        <f>N66+N68+N69+N71+N72+N70+N73</f>
        <v>0</v>
      </c>
      <c r="O64" s="240">
        <f t="shared" si="14"/>
        <v>0.005591328169786974</v>
      </c>
    </row>
    <row r="65" spans="1:15" ht="16.5" customHeight="1" hidden="1">
      <c r="A65" s="17"/>
      <c r="B65" s="18" t="s">
        <v>291</v>
      </c>
      <c r="C65" s="29" t="s">
        <v>292</v>
      </c>
      <c r="D65" s="20"/>
      <c r="E65" s="20"/>
      <c r="F65" s="20"/>
      <c r="G65" s="20"/>
      <c r="H65" s="20">
        <v>3005</v>
      </c>
      <c r="I65" s="20">
        <v>0</v>
      </c>
      <c r="J65" s="20">
        <v>0</v>
      </c>
      <c r="K65" s="20">
        <v>0</v>
      </c>
      <c r="L65" s="20">
        <v>0</v>
      </c>
      <c r="M65" s="20">
        <f>K65-L65</f>
        <v>0</v>
      </c>
      <c r="N65" s="7">
        <v>0</v>
      </c>
      <c r="O65" s="240">
        <f t="shared" si="14"/>
        <v>0</v>
      </c>
    </row>
    <row r="66" spans="1:15" ht="14.25" customHeight="1">
      <c r="A66" s="17"/>
      <c r="B66" s="18" t="s">
        <v>293</v>
      </c>
      <c r="C66" s="29" t="s">
        <v>294</v>
      </c>
      <c r="D66" s="20"/>
      <c r="E66" s="20">
        <v>20000</v>
      </c>
      <c r="F66" s="20">
        <v>3693</v>
      </c>
      <c r="G66" s="20">
        <v>0</v>
      </c>
      <c r="H66" s="20">
        <v>10601</v>
      </c>
      <c r="I66" s="20">
        <v>0</v>
      </c>
      <c r="J66" s="20">
        <v>0</v>
      </c>
      <c r="K66" s="8">
        <v>3930</v>
      </c>
      <c r="L66" s="20">
        <v>3930</v>
      </c>
      <c r="M66" s="20">
        <f aca="true" t="shared" si="16" ref="M66:M73">K66-L66</f>
        <v>0</v>
      </c>
      <c r="N66" s="21">
        <v>0</v>
      </c>
      <c r="O66" s="240">
        <f t="shared" si="14"/>
        <v>0.0001222974671478818</v>
      </c>
    </row>
    <row r="67" spans="1:15" ht="13.5" customHeight="1">
      <c r="A67" s="17"/>
      <c r="B67" s="18" t="s">
        <v>295</v>
      </c>
      <c r="C67" s="29" t="s">
        <v>384</v>
      </c>
      <c r="D67" s="20"/>
      <c r="E67" s="20"/>
      <c r="F67" s="20"/>
      <c r="G67" s="20"/>
      <c r="H67" s="20"/>
      <c r="I67" s="20"/>
      <c r="J67" s="20"/>
      <c r="K67" s="8">
        <v>46376</v>
      </c>
      <c r="L67" s="20">
        <v>0</v>
      </c>
      <c r="M67" s="20">
        <f t="shared" si="16"/>
        <v>46376</v>
      </c>
      <c r="N67" s="21"/>
      <c r="O67" s="240">
        <f t="shared" si="14"/>
        <v>0.0014431723502417724</v>
      </c>
    </row>
    <row r="68" spans="1:15" ht="13.5" customHeight="1">
      <c r="A68" s="28"/>
      <c r="B68" s="18" t="s">
        <v>297</v>
      </c>
      <c r="C68" s="29" t="s">
        <v>298</v>
      </c>
      <c r="D68" s="8">
        <v>15000</v>
      </c>
      <c r="E68" s="20">
        <v>17000</v>
      </c>
      <c r="F68" s="20">
        <v>0</v>
      </c>
      <c r="G68" s="20">
        <v>3693</v>
      </c>
      <c r="H68" s="20">
        <v>65521</v>
      </c>
      <c r="I68" s="20">
        <v>0</v>
      </c>
      <c r="J68" s="20">
        <v>0</v>
      </c>
      <c r="K68" s="8">
        <v>51970</v>
      </c>
      <c r="L68" s="20">
        <v>42670</v>
      </c>
      <c r="M68" s="20">
        <f t="shared" si="16"/>
        <v>9300</v>
      </c>
      <c r="N68" s="24">
        <v>0</v>
      </c>
      <c r="O68" s="240">
        <f t="shared" si="14"/>
        <v>0.001617251747500106</v>
      </c>
    </row>
    <row r="69" spans="1:15" ht="14.25" customHeight="1">
      <c r="A69" s="28"/>
      <c r="B69" s="18" t="s">
        <v>301</v>
      </c>
      <c r="C69" s="29" t="s">
        <v>302</v>
      </c>
      <c r="D69" s="8"/>
      <c r="E69" s="20"/>
      <c r="F69" s="20"/>
      <c r="G69" s="20"/>
      <c r="H69" s="20">
        <v>1357</v>
      </c>
      <c r="I69" s="20">
        <v>0</v>
      </c>
      <c r="J69" s="20">
        <v>0</v>
      </c>
      <c r="K69" s="8">
        <v>60000</v>
      </c>
      <c r="L69" s="20">
        <v>0</v>
      </c>
      <c r="M69" s="20">
        <f t="shared" si="16"/>
        <v>60000</v>
      </c>
      <c r="N69" s="24">
        <v>0</v>
      </c>
      <c r="O69" s="240">
        <f t="shared" si="14"/>
        <v>0.001867136903021096</v>
      </c>
    </row>
    <row r="70" spans="1:15" ht="13.5" customHeight="1">
      <c r="A70" s="28"/>
      <c r="B70" s="18" t="s">
        <v>319</v>
      </c>
      <c r="C70" s="29" t="s">
        <v>320</v>
      </c>
      <c r="D70" s="8"/>
      <c r="E70" s="20"/>
      <c r="F70" s="20"/>
      <c r="G70" s="20"/>
      <c r="H70" s="20">
        <v>55</v>
      </c>
      <c r="I70" s="20">
        <v>0</v>
      </c>
      <c r="J70" s="20">
        <v>0</v>
      </c>
      <c r="K70" s="8">
        <v>10100</v>
      </c>
      <c r="L70" s="20">
        <v>9600</v>
      </c>
      <c r="M70" s="20">
        <f t="shared" si="16"/>
        <v>500</v>
      </c>
      <c r="N70" s="24"/>
      <c r="O70" s="240">
        <f t="shared" si="14"/>
        <v>0.0003143013786752178</v>
      </c>
    </row>
    <row r="71" spans="1:15" ht="12" customHeight="1">
      <c r="A71" s="28"/>
      <c r="B71" s="18" t="s">
        <v>361</v>
      </c>
      <c r="C71" s="29" t="s">
        <v>365</v>
      </c>
      <c r="D71" s="8"/>
      <c r="E71" s="20"/>
      <c r="F71" s="20"/>
      <c r="G71" s="20"/>
      <c r="H71" s="20">
        <v>213</v>
      </c>
      <c r="I71" s="20">
        <v>0</v>
      </c>
      <c r="J71" s="20">
        <v>0</v>
      </c>
      <c r="K71" s="8">
        <v>5000</v>
      </c>
      <c r="L71" s="20">
        <v>5000</v>
      </c>
      <c r="M71" s="20">
        <f t="shared" si="16"/>
        <v>0</v>
      </c>
      <c r="N71" s="24">
        <v>0</v>
      </c>
      <c r="O71" s="240">
        <f t="shared" si="14"/>
        <v>0.00015559474191842467</v>
      </c>
    </row>
    <row r="72" spans="1:15" ht="14.25" customHeight="1">
      <c r="A72" s="28"/>
      <c r="B72" s="18" t="s">
        <v>389</v>
      </c>
      <c r="C72" s="29" t="s">
        <v>741</v>
      </c>
      <c r="D72" s="8"/>
      <c r="E72" s="20"/>
      <c r="F72" s="20"/>
      <c r="G72" s="20"/>
      <c r="H72" s="20">
        <v>6787</v>
      </c>
      <c r="I72" s="20">
        <v>0</v>
      </c>
      <c r="J72" s="20">
        <v>0</v>
      </c>
      <c r="K72" s="8">
        <v>1500</v>
      </c>
      <c r="L72" s="20">
        <v>0</v>
      </c>
      <c r="M72" s="20">
        <f t="shared" si="16"/>
        <v>1500</v>
      </c>
      <c r="N72" s="24">
        <v>0</v>
      </c>
      <c r="O72" s="240">
        <f t="shared" si="14"/>
        <v>4.66784225755274E-05</v>
      </c>
    </row>
    <row r="73" spans="1:15" ht="14.25" customHeight="1">
      <c r="A73" s="28"/>
      <c r="B73" s="18" t="s">
        <v>37</v>
      </c>
      <c r="C73" s="29" t="s">
        <v>733</v>
      </c>
      <c r="D73" s="8"/>
      <c r="E73" s="20"/>
      <c r="F73" s="20"/>
      <c r="G73" s="20"/>
      <c r="H73" s="20"/>
      <c r="I73" s="20"/>
      <c r="J73" s="20"/>
      <c r="K73" s="8">
        <v>800</v>
      </c>
      <c r="L73" s="20">
        <v>800</v>
      </c>
      <c r="M73" s="20">
        <f t="shared" si="16"/>
        <v>0</v>
      </c>
      <c r="N73" s="24"/>
      <c r="O73" s="240">
        <f t="shared" si="14"/>
        <v>2.4895158706947945E-05</v>
      </c>
    </row>
    <row r="74" spans="1:15" ht="14.25" customHeight="1" hidden="1">
      <c r="A74" s="28"/>
      <c r="B74" s="18" t="s">
        <v>518</v>
      </c>
      <c r="C74" s="29" t="s">
        <v>555</v>
      </c>
      <c r="D74" s="8"/>
      <c r="E74" s="20"/>
      <c r="F74" s="20"/>
      <c r="G74" s="20"/>
      <c r="H74" s="20"/>
      <c r="I74" s="20"/>
      <c r="J74" s="20"/>
      <c r="K74" s="8" t="s">
        <v>122</v>
      </c>
      <c r="L74" s="20" t="s">
        <v>271</v>
      </c>
      <c r="M74" s="20"/>
      <c r="N74" s="24"/>
      <c r="O74" s="240" t="e">
        <f t="shared" si="14"/>
        <v>#VALUE!</v>
      </c>
    </row>
    <row r="75" spans="1:15" s="286" customFormat="1" ht="15" customHeight="1">
      <c r="A75" s="287" t="s">
        <v>330</v>
      </c>
      <c r="B75" s="291"/>
      <c r="C75" s="293" t="s">
        <v>331</v>
      </c>
      <c r="D75" s="288">
        <f aca="true" t="shared" si="17" ref="D75:N75">D76+D78+D80</f>
        <v>170602</v>
      </c>
      <c r="E75" s="288">
        <f t="shared" si="17"/>
        <v>139020</v>
      </c>
      <c r="F75" s="288">
        <f t="shared" si="17"/>
        <v>0</v>
      </c>
      <c r="G75" s="288">
        <f t="shared" si="17"/>
        <v>0</v>
      </c>
      <c r="H75" s="288">
        <f>H76+H78+H80</f>
        <v>137866</v>
      </c>
      <c r="I75" s="288">
        <f>I76+I78+I80</f>
        <v>0</v>
      </c>
      <c r="J75" s="288">
        <f>J76+J78+J80</f>
        <v>0</v>
      </c>
      <c r="K75" s="288">
        <f>K76+K78+K80</f>
        <v>243547</v>
      </c>
      <c r="L75" s="288">
        <f t="shared" si="17"/>
        <v>243547</v>
      </c>
      <c r="M75" s="290">
        <f t="shared" si="17"/>
        <v>0</v>
      </c>
      <c r="N75" s="290">
        <f t="shared" si="17"/>
        <v>0</v>
      </c>
      <c r="O75" s="285">
        <f t="shared" si="14"/>
        <v>0.007578926522001314</v>
      </c>
    </row>
    <row r="76" spans="1:15" ht="23.25" customHeight="1">
      <c r="A76" s="17" t="s">
        <v>332</v>
      </c>
      <c r="B76" s="27"/>
      <c r="C76" s="4" t="s">
        <v>333</v>
      </c>
      <c r="D76" s="7">
        <f aca="true" t="shared" si="18" ref="D76:N76">D77</f>
        <v>79900</v>
      </c>
      <c r="E76" s="7">
        <f t="shared" si="18"/>
        <v>52100</v>
      </c>
      <c r="F76" s="7">
        <f t="shared" si="18"/>
        <v>0</v>
      </c>
      <c r="G76" s="7">
        <f t="shared" si="18"/>
        <v>0</v>
      </c>
      <c r="H76" s="7">
        <f t="shared" si="18"/>
        <v>52000</v>
      </c>
      <c r="I76" s="7">
        <f t="shared" si="18"/>
        <v>0</v>
      </c>
      <c r="J76" s="7">
        <f t="shared" si="18"/>
        <v>0</v>
      </c>
      <c r="K76" s="7">
        <f t="shared" si="18"/>
        <v>40000</v>
      </c>
      <c r="L76" s="7">
        <f t="shared" si="18"/>
        <v>40000</v>
      </c>
      <c r="M76" s="19">
        <f t="shared" si="18"/>
        <v>0</v>
      </c>
      <c r="N76" s="19">
        <f t="shared" si="18"/>
        <v>0</v>
      </c>
      <c r="O76" s="240">
        <f t="shared" si="14"/>
        <v>0.0012447579353473974</v>
      </c>
    </row>
    <row r="77" spans="1:15" ht="12.75" customHeight="1">
      <c r="A77" s="28"/>
      <c r="B77" s="18" t="s">
        <v>297</v>
      </c>
      <c r="C77" s="29" t="s">
        <v>298</v>
      </c>
      <c r="D77" s="8">
        <v>79900</v>
      </c>
      <c r="E77" s="20">
        <v>52100</v>
      </c>
      <c r="F77" s="20">
        <v>0</v>
      </c>
      <c r="G77" s="20">
        <v>0</v>
      </c>
      <c r="H77" s="20">
        <v>52000</v>
      </c>
      <c r="I77" s="20">
        <v>0</v>
      </c>
      <c r="J77" s="20">
        <v>0</v>
      </c>
      <c r="K77" s="8">
        <v>40000</v>
      </c>
      <c r="L77" s="20">
        <f>K77</f>
        <v>40000</v>
      </c>
      <c r="M77" s="24">
        <v>0</v>
      </c>
      <c r="N77" s="24">
        <v>0</v>
      </c>
      <c r="O77" s="240">
        <f t="shared" si="14"/>
        <v>0.0012447579353473974</v>
      </c>
    </row>
    <row r="78" spans="1:15" ht="17.25" customHeight="1">
      <c r="A78" s="17" t="s">
        <v>334</v>
      </c>
      <c r="B78" s="27"/>
      <c r="C78" s="4" t="s">
        <v>223</v>
      </c>
      <c r="D78" s="7">
        <f aca="true" t="shared" si="19" ref="D78:N78">D79</f>
        <v>20000</v>
      </c>
      <c r="E78" s="7">
        <f t="shared" si="19"/>
        <v>8000</v>
      </c>
      <c r="F78" s="7">
        <f t="shared" si="19"/>
        <v>0</v>
      </c>
      <c r="G78" s="7">
        <f t="shared" si="19"/>
        <v>0</v>
      </c>
      <c r="H78" s="7">
        <f t="shared" si="19"/>
        <v>4000</v>
      </c>
      <c r="I78" s="7">
        <f t="shared" si="19"/>
        <v>0</v>
      </c>
      <c r="J78" s="7">
        <f t="shared" si="19"/>
        <v>0</v>
      </c>
      <c r="K78" s="7">
        <f t="shared" si="19"/>
        <v>22000</v>
      </c>
      <c r="L78" s="7">
        <f t="shared" si="19"/>
        <v>22000</v>
      </c>
      <c r="M78" s="19">
        <f t="shared" si="19"/>
        <v>0</v>
      </c>
      <c r="N78" s="19">
        <f t="shared" si="19"/>
        <v>0</v>
      </c>
      <c r="O78" s="240">
        <f t="shared" si="14"/>
        <v>0.0006846168644410685</v>
      </c>
    </row>
    <row r="79" spans="1:15" ht="14.25" customHeight="1">
      <c r="A79" s="28"/>
      <c r="B79" s="18" t="s">
        <v>297</v>
      </c>
      <c r="C79" s="29" t="s">
        <v>298</v>
      </c>
      <c r="D79" s="8">
        <v>20000</v>
      </c>
      <c r="E79" s="20">
        <v>8000</v>
      </c>
      <c r="F79" s="20">
        <v>0</v>
      </c>
      <c r="G79" s="20">
        <v>0</v>
      </c>
      <c r="H79" s="20">
        <v>4000</v>
      </c>
      <c r="I79" s="20">
        <v>0</v>
      </c>
      <c r="J79" s="20">
        <v>0</v>
      </c>
      <c r="K79" s="8">
        <v>22000</v>
      </c>
      <c r="L79" s="20">
        <f>K79</f>
        <v>22000</v>
      </c>
      <c r="M79" s="24">
        <v>0</v>
      </c>
      <c r="N79" s="24">
        <v>0</v>
      </c>
      <c r="O79" s="240">
        <f t="shared" si="14"/>
        <v>0.0006846168644410685</v>
      </c>
    </row>
    <row r="80" spans="1:15" ht="15.75" customHeight="1">
      <c r="A80" s="17" t="s">
        <v>336</v>
      </c>
      <c r="B80" s="27"/>
      <c r="C80" s="4" t="s">
        <v>337</v>
      </c>
      <c r="D80" s="7">
        <f>D81+D83+D84+D86</f>
        <v>70702</v>
      </c>
      <c r="E80" s="7">
        <f>E81+E83+E84+E85+E86+E87+E89+E90+E92</f>
        <v>78920</v>
      </c>
      <c r="F80" s="7">
        <f>F81+F83+F84+F85+F86+F87+F89+F90+F92</f>
        <v>0</v>
      </c>
      <c r="G80" s="7">
        <f>G81+G83+G84+G85+G86+G87+G89+G90+G92</f>
        <v>0</v>
      </c>
      <c r="H80" s="7">
        <f>H81+H83+H84+H85+H86+H87+H89+H90+H92+H82</f>
        <v>81866</v>
      </c>
      <c r="I80" s="7">
        <f>I81+I83+I84+I85+I86+I87+I89+I90+I92+I82</f>
        <v>0</v>
      </c>
      <c r="J80" s="7">
        <f>J81+J83+J84+J85+J86+J87+J89+J90+J92+J82</f>
        <v>0</v>
      </c>
      <c r="K80" s="7">
        <f>SUM(K81:K92)</f>
        <v>181547</v>
      </c>
      <c r="L80" s="7">
        <f>SUM(L81:L92)</f>
        <v>181547</v>
      </c>
      <c r="M80" s="7">
        <f>SUM(M81:M92)</f>
        <v>0</v>
      </c>
      <c r="N80" s="7">
        <f>SUM(N81:N92)</f>
        <v>0</v>
      </c>
      <c r="O80" s="240">
        <f t="shared" si="14"/>
        <v>0.005649551722212849</v>
      </c>
    </row>
    <row r="81" spans="1:15" ht="12" customHeight="1">
      <c r="A81" s="28"/>
      <c r="B81" s="18" t="s">
        <v>281</v>
      </c>
      <c r="C81" s="29" t="s">
        <v>177</v>
      </c>
      <c r="D81" s="8">
        <v>49324</v>
      </c>
      <c r="E81" s="20">
        <v>53163</v>
      </c>
      <c r="F81" s="20">
        <v>0</v>
      </c>
      <c r="G81" s="20">
        <v>0</v>
      </c>
      <c r="H81" s="20">
        <v>34560</v>
      </c>
      <c r="I81" s="20">
        <v>0</v>
      </c>
      <c r="J81" s="20">
        <v>0</v>
      </c>
      <c r="K81" s="8">
        <v>49200</v>
      </c>
      <c r="L81" s="20">
        <f>K81</f>
        <v>49200</v>
      </c>
      <c r="M81" s="24">
        <v>0</v>
      </c>
      <c r="N81" s="24">
        <v>0</v>
      </c>
      <c r="O81" s="240">
        <f t="shared" si="14"/>
        <v>0.0015310522604772988</v>
      </c>
    </row>
    <row r="82" spans="1:15" ht="14.25" customHeight="1">
      <c r="A82" s="28"/>
      <c r="B82" s="18" t="s">
        <v>283</v>
      </c>
      <c r="C82" s="11" t="s">
        <v>178</v>
      </c>
      <c r="D82" s="8"/>
      <c r="E82" s="20"/>
      <c r="F82" s="20"/>
      <c r="G82" s="20"/>
      <c r="H82" s="20">
        <v>22800</v>
      </c>
      <c r="I82" s="20">
        <v>0</v>
      </c>
      <c r="J82" s="20">
        <v>0</v>
      </c>
      <c r="K82" s="8">
        <v>78200</v>
      </c>
      <c r="L82" s="20">
        <f aca="true" t="shared" si="20" ref="L82:L92">K82</f>
        <v>78200</v>
      </c>
      <c r="M82" s="24">
        <v>0</v>
      </c>
      <c r="N82" s="24">
        <v>0</v>
      </c>
      <c r="O82" s="240">
        <f t="shared" si="14"/>
        <v>0.002433501763604162</v>
      </c>
    </row>
    <row r="83" spans="1:15" ht="14.25" customHeight="1">
      <c r="A83" s="28"/>
      <c r="B83" s="18" t="s">
        <v>285</v>
      </c>
      <c r="C83" s="29" t="s">
        <v>286</v>
      </c>
      <c r="D83" s="8">
        <v>2600</v>
      </c>
      <c r="E83" s="20">
        <v>4103</v>
      </c>
      <c r="F83" s="20">
        <v>0</v>
      </c>
      <c r="G83" s="20">
        <v>0</v>
      </c>
      <c r="H83" s="20">
        <v>4508</v>
      </c>
      <c r="I83" s="20">
        <v>0</v>
      </c>
      <c r="J83" s="20">
        <v>0</v>
      </c>
      <c r="K83" s="8">
        <v>8864</v>
      </c>
      <c r="L83" s="20">
        <f t="shared" si="20"/>
        <v>8864</v>
      </c>
      <c r="M83" s="24">
        <v>0</v>
      </c>
      <c r="N83" s="24">
        <v>0</v>
      </c>
      <c r="O83" s="240">
        <f t="shared" si="14"/>
        <v>0.00027583835847298327</v>
      </c>
    </row>
    <row r="84" spans="1:15" ht="15" customHeight="1">
      <c r="A84" s="28"/>
      <c r="B84" s="25" t="s">
        <v>338</v>
      </c>
      <c r="C84" s="29" t="s">
        <v>315</v>
      </c>
      <c r="D84" s="8">
        <v>10556</v>
      </c>
      <c r="E84" s="20">
        <v>10240</v>
      </c>
      <c r="F84" s="20">
        <v>0</v>
      </c>
      <c r="G84" s="20">
        <v>0</v>
      </c>
      <c r="H84" s="20">
        <v>11254</v>
      </c>
      <c r="I84" s="20">
        <v>0</v>
      </c>
      <c r="J84" s="20">
        <v>0</v>
      </c>
      <c r="K84" s="8">
        <v>24786</v>
      </c>
      <c r="L84" s="20">
        <f t="shared" si="20"/>
        <v>24786</v>
      </c>
      <c r="M84" s="24">
        <v>0</v>
      </c>
      <c r="N84" s="24">
        <v>0</v>
      </c>
      <c r="O84" s="240">
        <f t="shared" si="14"/>
        <v>0.0007713142546380147</v>
      </c>
    </row>
    <row r="85" spans="1:15" ht="14.25" customHeight="1">
      <c r="A85" s="28"/>
      <c r="B85" s="25" t="s">
        <v>289</v>
      </c>
      <c r="C85" s="29" t="s">
        <v>290</v>
      </c>
      <c r="D85" s="8"/>
      <c r="E85" s="20">
        <v>1403</v>
      </c>
      <c r="F85" s="20">
        <v>0</v>
      </c>
      <c r="G85" s="20">
        <v>0</v>
      </c>
      <c r="H85" s="20">
        <v>1516</v>
      </c>
      <c r="I85" s="20">
        <v>0</v>
      </c>
      <c r="J85" s="20">
        <v>0</v>
      </c>
      <c r="K85" s="8">
        <v>3338</v>
      </c>
      <c r="L85" s="20">
        <f t="shared" si="20"/>
        <v>3338</v>
      </c>
      <c r="M85" s="24">
        <v>0</v>
      </c>
      <c r="N85" s="24">
        <v>0</v>
      </c>
      <c r="O85" s="240">
        <f t="shared" si="14"/>
        <v>0.0001038750497047403</v>
      </c>
    </row>
    <row r="86" spans="1:15" ht="15.75" customHeight="1">
      <c r="A86" s="28"/>
      <c r="B86" s="18" t="s">
        <v>37</v>
      </c>
      <c r="C86" s="29" t="s">
        <v>52</v>
      </c>
      <c r="D86" s="8">
        <v>8222</v>
      </c>
      <c r="E86" s="20">
        <v>0</v>
      </c>
      <c r="F86" s="20">
        <v>0</v>
      </c>
      <c r="G86" s="20">
        <v>0</v>
      </c>
      <c r="H86" s="20"/>
      <c r="I86" s="20"/>
      <c r="J86" s="20"/>
      <c r="K86" s="8">
        <v>0</v>
      </c>
      <c r="L86" s="20"/>
      <c r="M86" s="24"/>
      <c r="N86" s="24"/>
      <c r="O86" s="240">
        <f t="shared" si="14"/>
        <v>0</v>
      </c>
    </row>
    <row r="87" spans="1:15" ht="13.5" customHeight="1">
      <c r="A87" s="28"/>
      <c r="B87" s="18" t="s">
        <v>291</v>
      </c>
      <c r="C87" s="29" t="s">
        <v>318</v>
      </c>
      <c r="D87" s="8"/>
      <c r="E87" s="20">
        <v>2270</v>
      </c>
      <c r="F87" s="20">
        <v>0</v>
      </c>
      <c r="G87" s="20">
        <v>0</v>
      </c>
      <c r="H87" s="20">
        <v>300</v>
      </c>
      <c r="I87" s="20">
        <v>0</v>
      </c>
      <c r="J87" s="20">
        <v>0</v>
      </c>
      <c r="K87" s="8">
        <v>3000</v>
      </c>
      <c r="L87" s="20">
        <f t="shared" si="20"/>
        <v>3000</v>
      </c>
      <c r="M87" s="24">
        <v>0</v>
      </c>
      <c r="N87" s="24">
        <v>0</v>
      </c>
      <c r="O87" s="240">
        <f t="shared" si="14"/>
        <v>9.33568451510548E-05</v>
      </c>
    </row>
    <row r="88" spans="1:15" ht="13.5" customHeight="1">
      <c r="A88" s="28"/>
      <c r="B88" s="18" t="s">
        <v>293</v>
      </c>
      <c r="C88" s="29" t="s">
        <v>383</v>
      </c>
      <c r="D88" s="8"/>
      <c r="E88" s="20"/>
      <c r="F88" s="20"/>
      <c r="G88" s="20"/>
      <c r="H88" s="20"/>
      <c r="I88" s="20"/>
      <c r="J88" s="20"/>
      <c r="K88" s="8">
        <v>4700</v>
      </c>
      <c r="L88" s="20">
        <f t="shared" si="20"/>
        <v>4700</v>
      </c>
      <c r="M88" s="24"/>
      <c r="N88" s="24"/>
      <c r="O88" s="240">
        <f t="shared" si="14"/>
        <v>0.0001462590574033192</v>
      </c>
    </row>
    <row r="89" spans="1:15" ht="12.75" customHeight="1">
      <c r="A89" s="28"/>
      <c r="B89" s="18" t="s">
        <v>297</v>
      </c>
      <c r="C89" s="29" t="s">
        <v>298</v>
      </c>
      <c r="D89" s="8"/>
      <c r="E89" s="20">
        <v>4000</v>
      </c>
      <c r="F89" s="20">
        <v>0</v>
      </c>
      <c r="G89" s="20">
        <v>0</v>
      </c>
      <c r="H89" s="20">
        <v>3097</v>
      </c>
      <c r="I89" s="20">
        <v>0</v>
      </c>
      <c r="J89" s="20">
        <v>0</v>
      </c>
      <c r="K89" s="8">
        <v>4125</v>
      </c>
      <c r="L89" s="20">
        <f t="shared" si="20"/>
        <v>4125</v>
      </c>
      <c r="M89" s="24">
        <v>0</v>
      </c>
      <c r="N89" s="24">
        <v>0</v>
      </c>
      <c r="O89" s="240">
        <f t="shared" si="14"/>
        <v>0.00012836566208270035</v>
      </c>
    </row>
    <row r="90" spans="1:15" ht="13.5" customHeight="1">
      <c r="A90" s="28"/>
      <c r="B90" s="18" t="s">
        <v>299</v>
      </c>
      <c r="C90" s="29" t="s">
        <v>300</v>
      </c>
      <c r="D90" s="8"/>
      <c r="E90" s="20">
        <v>2500</v>
      </c>
      <c r="F90" s="20">
        <v>0</v>
      </c>
      <c r="G90" s="20">
        <v>0</v>
      </c>
      <c r="H90" s="20">
        <v>2478</v>
      </c>
      <c r="I90" s="20">
        <v>0</v>
      </c>
      <c r="J90" s="20">
        <v>0</v>
      </c>
      <c r="K90" s="8">
        <v>500</v>
      </c>
      <c r="L90" s="20">
        <f t="shared" si="20"/>
        <v>500</v>
      </c>
      <c r="M90" s="24">
        <v>0</v>
      </c>
      <c r="N90" s="24">
        <v>0</v>
      </c>
      <c r="O90" s="240">
        <f t="shared" si="14"/>
        <v>1.5559474191842467E-05</v>
      </c>
    </row>
    <row r="91" spans="1:15" ht="13.5" customHeight="1">
      <c r="A91" s="28"/>
      <c r="B91" s="18" t="s">
        <v>301</v>
      </c>
      <c r="C91" s="29" t="s">
        <v>302</v>
      </c>
      <c r="D91" s="8"/>
      <c r="E91" s="20"/>
      <c r="F91" s="20"/>
      <c r="G91" s="20"/>
      <c r="H91" s="20"/>
      <c r="I91" s="20"/>
      <c r="J91" s="20"/>
      <c r="K91" s="8">
        <v>2200</v>
      </c>
      <c r="L91" s="20">
        <f>K91</f>
        <v>2200</v>
      </c>
      <c r="M91" s="24">
        <v>0</v>
      </c>
      <c r="N91" s="24">
        <v>0</v>
      </c>
      <c r="O91" s="240">
        <f t="shared" si="14"/>
        <v>6.846168644410685E-05</v>
      </c>
    </row>
    <row r="92" spans="1:15" ht="15" customHeight="1">
      <c r="A92" s="28"/>
      <c r="B92" s="18" t="s">
        <v>303</v>
      </c>
      <c r="C92" s="29" t="s">
        <v>304</v>
      </c>
      <c r="D92" s="8"/>
      <c r="E92" s="20">
        <v>1241</v>
      </c>
      <c r="F92" s="20">
        <v>0</v>
      </c>
      <c r="G92" s="20">
        <v>0</v>
      </c>
      <c r="H92" s="20">
        <v>1353</v>
      </c>
      <c r="I92" s="20">
        <v>0</v>
      </c>
      <c r="J92" s="20">
        <v>0</v>
      </c>
      <c r="K92" s="8">
        <v>2634</v>
      </c>
      <c r="L92" s="20">
        <f t="shared" si="20"/>
        <v>2634</v>
      </c>
      <c r="M92" s="24">
        <v>0</v>
      </c>
      <c r="N92" s="24">
        <v>0</v>
      </c>
      <c r="O92" s="240">
        <f t="shared" si="14"/>
        <v>8.196731004262612E-05</v>
      </c>
    </row>
    <row r="93" spans="1:15" s="286" customFormat="1" ht="14.25" customHeight="1">
      <c r="A93" s="287" t="s">
        <v>339</v>
      </c>
      <c r="B93" s="291"/>
      <c r="C93" s="293" t="s">
        <v>340</v>
      </c>
      <c r="D93" s="288" t="e">
        <f>D94+D108+D115+D139+D153</f>
        <v>#REF!</v>
      </c>
      <c r="E93" s="288" t="e">
        <f>E94+E108+E115+E139+E153</f>
        <v>#REF!</v>
      </c>
      <c r="F93" s="288" t="e">
        <f>F94+F108+F115+F139+F153</f>
        <v>#REF!</v>
      </c>
      <c r="G93" s="288" t="e">
        <f>G94+G108+G115+G139+G153</f>
        <v>#REF!</v>
      </c>
      <c r="H93" s="288" t="e">
        <f>H94+H108+H115+H139+H153+#REF!</f>
        <v>#REF!</v>
      </c>
      <c r="I93" s="288" t="e">
        <f>I94+I108+I115+I139+I153+#REF!</f>
        <v>#REF!</v>
      </c>
      <c r="J93" s="288" t="e">
        <f>J94+J108+J115+J139+J153+#REF!</f>
        <v>#REF!</v>
      </c>
      <c r="K93" s="288">
        <f>K94+K106+K108+K115+K139+K148+K153</f>
        <v>2485311</v>
      </c>
      <c r="L93" s="288">
        <f>L94+L106+L108+L115+L139+L148+L153</f>
        <v>115748</v>
      </c>
      <c r="M93" s="288">
        <f>M94+M106+M108+M115+M139+M148+M153</f>
        <v>2314183</v>
      </c>
      <c r="N93" s="288">
        <f>N94+N106+N108+N115+N139+N148+N153</f>
        <v>55380</v>
      </c>
      <c r="O93" s="285">
        <f t="shared" si="14"/>
        <v>0.07734026472640439</v>
      </c>
    </row>
    <row r="94" spans="1:15" ht="13.5" customHeight="1">
      <c r="A94" s="17" t="s">
        <v>341</v>
      </c>
      <c r="B94" s="27"/>
      <c r="C94" s="4" t="s">
        <v>342</v>
      </c>
      <c r="D94" s="7">
        <f>D96+D97+D98+D100</f>
        <v>120453</v>
      </c>
      <c r="E94" s="7">
        <f>E96+E97+E98+E99+E100+E102</f>
        <v>120857</v>
      </c>
      <c r="F94" s="7">
        <f>F96+F97+F98+F99+F100+F102</f>
        <v>0</v>
      </c>
      <c r="G94" s="7">
        <f>G96+G97+G98+G99+G100+G102</f>
        <v>0</v>
      </c>
      <c r="H94" s="7">
        <f>H96+H97+H98+H99+H100+H102+H103+H104+H105+H95</f>
        <v>89799</v>
      </c>
      <c r="I94" s="7">
        <f>I96+I97+I98+I99+I100+I102+I103+I104+I105+I95</f>
        <v>0</v>
      </c>
      <c r="J94" s="7">
        <f>J96+J97+J98+J99+J100+J102+J103+J104+J105+J95</f>
        <v>0</v>
      </c>
      <c r="K94" s="7">
        <f>SUM(K95:K105)</f>
        <v>102748</v>
      </c>
      <c r="L94" s="7">
        <f>SUM(L95:L105)</f>
        <v>102748</v>
      </c>
      <c r="M94" s="7">
        <f>SUM(M95:M105)</f>
        <v>0</v>
      </c>
      <c r="N94" s="7">
        <f>SUM(N95:N105)</f>
        <v>0</v>
      </c>
      <c r="O94" s="302">
        <f aca="true" t="shared" si="21" ref="O94:O106">K94/$K$616</f>
        <v>0.0031974097085268596</v>
      </c>
    </row>
    <row r="95" spans="1:15" ht="15" customHeight="1">
      <c r="A95" s="28"/>
      <c r="B95" s="18" t="s">
        <v>344</v>
      </c>
      <c r="C95" s="29" t="s">
        <v>194</v>
      </c>
      <c r="D95" s="8"/>
      <c r="E95" s="20"/>
      <c r="F95" s="20"/>
      <c r="G95" s="20"/>
      <c r="H95" s="20">
        <v>700</v>
      </c>
      <c r="I95" s="20">
        <v>0</v>
      </c>
      <c r="J95" s="20">
        <v>0</v>
      </c>
      <c r="K95" s="8">
        <v>0</v>
      </c>
      <c r="L95" s="20">
        <v>0</v>
      </c>
      <c r="M95" s="24">
        <v>0</v>
      </c>
      <c r="N95" s="24">
        <v>0</v>
      </c>
      <c r="O95" s="240">
        <f t="shared" si="21"/>
        <v>0</v>
      </c>
    </row>
    <row r="96" spans="1:15" ht="14.25" customHeight="1">
      <c r="A96" s="28"/>
      <c r="B96" s="18" t="s">
        <v>281</v>
      </c>
      <c r="C96" s="29" t="s">
        <v>177</v>
      </c>
      <c r="D96" s="8">
        <v>90000</v>
      </c>
      <c r="E96" s="20">
        <v>90000</v>
      </c>
      <c r="F96" s="20">
        <v>0</v>
      </c>
      <c r="G96" s="20">
        <v>0</v>
      </c>
      <c r="H96" s="20">
        <v>51600</v>
      </c>
      <c r="I96" s="20">
        <v>0</v>
      </c>
      <c r="J96" s="20">
        <v>0</v>
      </c>
      <c r="K96" s="8">
        <v>70400</v>
      </c>
      <c r="L96" s="20">
        <f>K96</f>
        <v>70400</v>
      </c>
      <c r="M96" s="24">
        <v>0</v>
      </c>
      <c r="N96" s="24">
        <v>0</v>
      </c>
      <c r="O96" s="240">
        <f t="shared" si="21"/>
        <v>0.002190773966211419</v>
      </c>
    </row>
    <row r="97" spans="1:15" ht="15.75" customHeight="1">
      <c r="A97" s="28"/>
      <c r="B97" s="18" t="s">
        <v>285</v>
      </c>
      <c r="C97" s="29" t="s">
        <v>286</v>
      </c>
      <c r="D97" s="8">
        <v>6390</v>
      </c>
      <c r="E97" s="20">
        <v>6390</v>
      </c>
      <c r="F97" s="20">
        <v>0</v>
      </c>
      <c r="G97" s="20">
        <v>0</v>
      </c>
      <c r="H97" s="20">
        <v>3825</v>
      </c>
      <c r="I97" s="20">
        <v>0</v>
      </c>
      <c r="J97" s="20">
        <v>0</v>
      </c>
      <c r="K97" s="8">
        <v>4712</v>
      </c>
      <c r="L97" s="20">
        <f aca="true" t="shared" si="22" ref="L97:L105">K97</f>
        <v>4712</v>
      </c>
      <c r="M97" s="24">
        <v>0</v>
      </c>
      <c r="N97" s="24">
        <v>0</v>
      </c>
      <c r="O97" s="240">
        <f t="shared" si="21"/>
        <v>0.0001466324847839234</v>
      </c>
    </row>
    <row r="98" spans="1:15" ht="16.5" customHeight="1">
      <c r="A98" s="28"/>
      <c r="B98" s="25" t="s">
        <v>338</v>
      </c>
      <c r="C98" s="29" t="s">
        <v>343</v>
      </c>
      <c r="D98" s="8">
        <v>19597</v>
      </c>
      <c r="E98" s="20">
        <v>17235</v>
      </c>
      <c r="F98" s="20">
        <v>0</v>
      </c>
      <c r="G98" s="20">
        <v>0</v>
      </c>
      <c r="H98" s="20">
        <v>9550</v>
      </c>
      <c r="I98" s="20">
        <v>0</v>
      </c>
      <c r="J98" s="20">
        <v>0</v>
      </c>
      <c r="K98" s="8">
        <v>12942</v>
      </c>
      <c r="L98" s="20">
        <f t="shared" si="22"/>
        <v>12942</v>
      </c>
      <c r="M98" s="24">
        <v>0</v>
      </c>
      <c r="N98" s="24">
        <v>0</v>
      </c>
      <c r="O98" s="240">
        <f t="shared" si="21"/>
        <v>0.0004027414299816504</v>
      </c>
    </row>
    <row r="99" spans="1:15" ht="15" customHeight="1">
      <c r="A99" s="28"/>
      <c r="B99" s="25" t="s">
        <v>289</v>
      </c>
      <c r="C99" s="29" t="s">
        <v>290</v>
      </c>
      <c r="D99" s="8"/>
      <c r="E99" s="20">
        <v>2362</v>
      </c>
      <c r="F99" s="20">
        <v>0</v>
      </c>
      <c r="G99" s="20">
        <v>0</v>
      </c>
      <c r="H99" s="20">
        <v>1358</v>
      </c>
      <c r="I99" s="20">
        <v>0</v>
      </c>
      <c r="J99" s="20">
        <v>0</v>
      </c>
      <c r="K99" s="8">
        <v>1840</v>
      </c>
      <c r="L99" s="20">
        <f t="shared" si="22"/>
        <v>1840</v>
      </c>
      <c r="M99" s="24">
        <v>0</v>
      </c>
      <c r="N99" s="24">
        <v>0</v>
      </c>
      <c r="O99" s="240">
        <f t="shared" si="21"/>
        <v>5.7258865025980275E-05</v>
      </c>
    </row>
    <row r="100" spans="1:15" ht="18.75" customHeight="1" hidden="1">
      <c r="A100" s="28"/>
      <c r="B100" s="18"/>
      <c r="C100" s="29" t="s">
        <v>329</v>
      </c>
      <c r="D100" s="8">
        <v>4466</v>
      </c>
      <c r="E100" s="20">
        <v>1767</v>
      </c>
      <c r="F100" s="20">
        <v>0</v>
      </c>
      <c r="G100" s="20">
        <v>0</v>
      </c>
      <c r="H100" s="20"/>
      <c r="I100" s="20"/>
      <c r="J100" s="20"/>
      <c r="K100" s="8"/>
      <c r="L100" s="20">
        <f t="shared" si="22"/>
        <v>0</v>
      </c>
      <c r="M100" s="24"/>
      <c r="N100" s="24"/>
      <c r="O100" s="240">
        <f t="shared" si="21"/>
        <v>0</v>
      </c>
    </row>
    <row r="101" spans="1:15" ht="15" customHeight="1">
      <c r="A101" s="28"/>
      <c r="B101" s="18" t="s">
        <v>37</v>
      </c>
      <c r="C101" s="29" t="s">
        <v>52</v>
      </c>
      <c r="D101" s="8"/>
      <c r="E101" s="20"/>
      <c r="F101" s="20"/>
      <c r="G101" s="20"/>
      <c r="H101" s="20"/>
      <c r="I101" s="20"/>
      <c r="J101" s="20"/>
      <c r="K101" s="8">
        <v>7160</v>
      </c>
      <c r="L101" s="20">
        <f>K101</f>
        <v>7160</v>
      </c>
      <c r="M101" s="24">
        <v>0</v>
      </c>
      <c r="N101" s="24">
        <v>0</v>
      </c>
      <c r="O101" s="240">
        <f t="shared" si="21"/>
        <v>0.00022281167042718412</v>
      </c>
    </row>
    <row r="102" spans="1:15" ht="15" customHeight="1">
      <c r="A102" s="28"/>
      <c r="B102" s="18" t="s">
        <v>291</v>
      </c>
      <c r="C102" s="29" t="s">
        <v>292</v>
      </c>
      <c r="D102" s="8"/>
      <c r="E102" s="20">
        <v>3103</v>
      </c>
      <c r="F102" s="20">
        <v>0</v>
      </c>
      <c r="G102" s="20">
        <v>0</v>
      </c>
      <c r="H102" s="20">
        <v>1691</v>
      </c>
      <c r="I102" s="20">
        <v>0</v>
      </c>
      <c r="J102" s="20">
        <v>0</v>
      </c>
      <c r="K102" s="8">
        <v>1060</v>
      </c>
      <c r="L102" s="20">
        <f t="shared" si="22"/>
        <v>1060</v>
      </c>
      <c r="M102" s="24">
        <v>0</v>
      </c>
      <c r="N102" s="24">
        <v>0</v>
      </c>
      <c r="O102" s="240">
        <f t="shared" si="21"/>
        <v>3.298608528670603E-05</v>
      </c>
    </row>
    <row r="103" spans="1:15" ht="14.25" customHeight="1">
      <c r="A103" s="28"/>
      <c r="B103" s="18" t="s">
        <v>297</v>
      </c>
      <c r="C103" s="29" t="s">
        <v>385</v>
      </c>
      <c r="D103" s="8"/>
      <c r="E103" s="20"/>
      <c r="F103" s="20"/>
      <c r="G103" s="20"/>
      <c r="H103" s="20">
        <v>17600</v>
      </c>
      <c r="I103" s="20">
        <v>0</v>
      </c>
      <c r="J103" s="20">
        <v>0</v>
      </c>
      <c r="K103" s="8">
        <v>1400</v>
      </c>
      <c r="L103" s="20">
        <f>K103</f>
        <v>1400</v>
      </c>
      <c r="M103" s="24">
        <v>0</v>
      </c>
      <c r="N103" s="24">
        <v>0</v>
      </c>
      <c r="O103" s="240">
        <f t="shared" si="21"/>
        <v>4.356652773715891E-05</v>
      </c>
    </row>
    <row r="104" spans="1:15" ht="15" customHeight="1">
      <c r="A104" s="28"/>
      <c r="B104" s="18" t="s">
        <v>299</v>
      </c>
      <c r="C104" s="29" t="s">
        <v>300</v>
      </c>
      <c r="D104" s="8"/>
      <c r="E104" s="20"/>
      <c r="F104" s="20"/>
      <c r="G104" s="20"/>
      <c r="H104" s="20">
        <v>2225</v>
      </c>
      <c r="I104" s="20">
        <v>0</v>
      </c>
      <c r="J104" s="20">
        <v>0</v>
      </c>
      <c r="K104" s="8">
        <v>600</v>
      </c>
      <c r="L104" s="20">
        <f t="shared" si="22"/>
        <v>600</v>
      </c>
      <c r="M104" s="24">
        <v>0</v>
      </c>
      <c r="N104" s="24">
        <v>0</v>
      </c>
      <c r="O104" s="240">
        <f t="shared" si="21"/>
        <v>1.867136903021096E-05</v>
      </c>
    </row>
    <row r="105" spans="1:15" ht="15" customHeight="1">
      <c r="A105" s="28"/>
      <c r="B105" s="18" t="s">
        <v>303</v>
      </c>
      <c r="C105" s="29" t="s">
        <v>304</v>
      </c>
      <c r="D105" s="8"/>
      <c r="E105" s="20"/>
      <c r="F105" s="20"/>
      <c r="G105" s="20"/>
      <c r="H105" s="118">
        <v>1250</v>
      </c>
      <c r="I105" s="118">
        <v>0</v>
      </c>
      <c r="J105" s="118">
        <v>0</v>
      </c>
      <c r="K105" s="8">
        <v>2634</v>
      </c>
      <c r="L105" s="20">
        <f t="shared" si="22"/>
        <v>2634</v>
      </c>
      <c r="M105" s="24">
        <v>0</v>
      </c>
      <c r="N105" s="24">
        <v>0</v>
      </c>
      <c r="O105" s="240">
        <f t="shared" si="21"/>
        <v>8.196731004262612E-05</v>
      </c>
    </row>
    <row r="106" spans="1:15" s="37" customFormat="1" ht="17.25" customHeight="1">
      <c r="A106" s="17" t="s">
        <v>742</v>
      </c>
      <c r="B106" s="27"/>
      <c r="C106" s="4" t="s">
        <v>173</v>
      </c>
      <c r="D106" s="7"/>
      <c r="E106" s="7"/>
      <c r="F106" s="7"/>
      <c r="G106" s="7"/>
      <c r="H106" s="7"/>
      <c r="I106" s="7"/>
      <c r="J106" s="7"/>
      <c r="K106" s="7">
        <f>K107</f>
        <v>3380</v>
      </c>
      <c r="L106" s="7">
        <f>L107</f>
        <v>0</v>
      </c>
      <c r="M106" s="19">
        <f>M107</f>
        <v>0</v>
      </c>
      <c r="N106" s="19">
        <f>N107</f>
        <v>3380</v>
      </c>
      <c r="O106" s="282">
        <f t="shared" si="21"/>
        <v>0.00010518204553685507</v>
      </c>
    </row>
    <row r="107" spans="1:15" ht="21.75" customHeight="1">
      <c r="A107" s="28"/>
      <c r="B107" s="18" t="s">
        <v>743</v>
      </c>
      <c r="C107" s="208" t="s">
        <v>744</v>
      </c>
      <c r="D107" s="8"/>
      <c r="E107" s="20"/>
      <c r="F107" s="20"/>
      <c r="G107" s="20"/>
      <c r="H107" s="20"/>
      <c r="I107" s="20"/>
      <c r="J107" s="20"/>
      <c r="K107" s="8">
        <v>3380</v>
      </c>
      <c r="L107" s="20">
        <v>0</v>
      </c>
      <c r="M107" s="24">
        <v>0</v>
      </c>
      <c r="N107" s="24">
        <f>K107</f>
        <v>3380</v>
      </c>
      <c r="O107" s="240">
        <f aca="true" t="shared" si="23" ref="O107:O138">K107/$K$616</f>
        <v>0.00010518204553685507</v>
      </c>
    </row>
    <row r="108" spans="1:15" s="37" customFormat="1" ht="16.5" customHeight="1">
      <c r="A108" s="17" t="s">
        <v>346</v>
      </c>
      <c r="B108" s="27"/>
      <c r="C108" s="4" t="s">
        <v>347</v>
      </c>
      <c r="D108" s="7">
        <f>D109</f>
        <v>134900</v>
      </c>
      <c r="E108" s="7" t="e">
        <f>E109+#REF!+#REF!+#REF!</f>
        <v>#REF!</v>
      </c>
      <c r="F108" s="7" t="e">
        <f>F109+#REF!+#REF!+#REF!</f>
        <v>#REF!</v>
      </c>
      <c r="G108" s="7" t="e">
        <f>G109+#REF!+#REF!+#REF!</f>
        <v>#REF!</v>
      </c>
      <c r="H108" s="7">
        <f>H109+H110+H112</f>
        <v>86060</v>
      </c>
      <c r="I108" s="7">
        <f>I109+I110+I112</f>
        <v>0</v>
      </c>
      <c r="J108" s="7">
        <f>J109+J110+J112</f>
        <v>0</v>
      </c>
      <c r="K108" s="7">
        <f>SUM(K109:K114)</f>
        <v>85800</v>
      </c>
      <c r="L108" s="7">
        <f>SUM(L109:L114)</f>
        <v>0</v>
      </c>
      <c r="M108" s="7">
        <f>SUM(M109:M114)</f>
        <v>85800</v>
      </c>
      <c r="N108" s="7">
        <f>SUM(N109:N114)</f>
        <v>0</v>
      </c>
      <c r="O108" s="281">
        <f t="shared" si="23"/>
        <v>0.002670005771320167</v>
      </c>
    </row>
    <row r="109" spans="1:15" ht="12.75" customHeight="1">
      <c r="A109" s="28"/>
      <c r="B109" s="18" t="s">
        <v>279</v>
      </c>
      <c r="C109" s="29" t="s">
        <v>348</v>
      </c>
      <c r="D109" s="8">
        <v>134900</v>
      </c>
      <c r="E109" s="20">
        <v>191600</v>
      </c>
      <c r="F109" s="20">
        <v>0</v>
      </c>
      <c r="G109" s="20">
        <v>0</v>
      </c>
      <c r="H109" s="20">
        <v>74690</v>
      </c>
      <c r="I109" s="20">
        <v>0</v>
      </c>
      <c r="J109" s="20">
        <v>0</v>
      </c>
      <c r="K109" s="8">
        <v>60000</v>
      </c>
      <c r="L109" s="20">
        <v>0</v>
      </c>
      <c r="M109" s="24">
        <f aca="true" t="shared" si="24" ref="M109:M114">K109</f>
        <v>60000</v>
      </c>
      <c r="N109" s="24">
        <v>0</v>
      </c>
      <c r="O109" s="240">
        <f t="shared" si="23"/>
        <v>0.001867136903021096</v>
      </c>
    </row>
    <row r="110" spans="1:15" ht="12.75" customHeight="1">
      <c r="A110" s="28"/>
      <c r="B110" s="18" t="s">
        <v>291</v>
      </c>
      <c r="C110" s="29" t="s">
        <v>292</v>
      </c>
      <c r="D110" s="8"/>
      <c r="E110" s="20"/>
      <c r="F110" s="20"/>
      <c r="G110" s="20"/>
      <c r="H110" s="20">
        <v>3670</v>
      </c>
      <c r="I110" s="20">
        <v>0</v>
      </c>
      <c r="J110" s="20">
        <v>0</v>
      </c>
      <c r="K110" s="8">
        <v>13100</v>
      </c>
      <c r="L110" s="20">
        <v>0</v>
      </c>
      <c r="M110" s="24">
        <f t="shared" si="24"/>
        <v>13100</v>
      </c>
      <c r="N110" s="24">
        <v>0</v>
      </c>
      <c r="O110" s="240">
        <f t="shared" si="23"/>
        <v>0.0004076582238262726</v>
      </c>
    </row>
    <row r="111" spans="1:15" ht="12.75" customHeight="1">
      <c r="A111" s="28"/>
      <c r="B111" s="18" t="s">
        <v>293</v>
      </c>
      <c r="C111" s="29" t="s">
        <v>383</v>
      </c>
      <c r="D111" s="8"/>
      <c r="E111" s="20"/>
      <c r="F111" s="20"/>
      <c r="G111" s="20"/>
      <c r="H111" s="20"/>
      <c r="I111" s="20"/>
      <c r="J111" s="20"/>
      <c r="K111" s="8">
        <v>2800</v>
      </c>
      <c r="L111" s="20">
        <v>0</v>
      </c>
      <c r="M111" s="24">
        <f t="shared" si="24"/>
        <v>2800</v>
      </c>
      <c r="N111" s="24">
        <v>0</v>
      </c>
      <c r="O111" s="240">
        <f t="shared" si="23"/>
        <v>8.713305547431781E-05</v>
      </c>
    </row>
    <row r="112" spans="1:15" ht="12.75" customHeight="1">
      <c r="A112" s="28"/>
      <c r="B112" s="18" t="s">
        <v>297</v>
      </c>
      <c r="C112" s="29" t="s">
        <v>385</v>
      </c>
      <c r="D112" s="8"/>
      <c r="E112" s="20"/>
      <c r="F112" s="20"/>
      <c r="G112" s="20"/>
      <c r="H112" s="20">
        <v>7700</v>
      </c>
      <c r="I112" s="20">
        <v>0</v>
      </c>
      <c r="J112" s="20">
        <v>0</v>
      </c>
      <c r="K112" s="8">
        <v>8400</v>
      </c>
      <c r="L112" s="20">
        <v>0</v>
      </c>
      <c r="M112" s="24">
        <f t="shared" si="24"/>
        <v>8400</v>
      </c>
      <c r="N112" s="24">
        <v>0</v>
      </c>
      <c r="O112" s="240">
        <f t="shared" si="23"/>
        <v>0.00026139916642295343</v>
      </c>
    </row>
    <row r="113" spans="1:15" ht="12.75" customHeight="1">
      <c r="A113" s="28"/>
      <c r="B113" s="18" t="s">
        <v>299</v>
      </c>
      <c r="C113" s="29" t="s">
        <v>300</v>
      </c>
      <c r="D113" s="8"/>
      <c r="E113" s="20"/>
      <c r="F113" s="20"/>
      <c r="G113" s="20"/>
      <c r="H113" s="20"/>
      <c r="I113" s="20"/>
      <c r="J113" s="20"/>
      <c r="K113" s="8">
        <v>500</v>
      </c>
      <c r="L113" s="20">
        <v>0</v>
      </c>
      <c r="M113" s="24">
        <f t="shared" si="24"/>
        <v>500</v>
      </c>
      <c r="N113" s="24">
        <v>0</v>
      </c>
      <c r="O113" s="240">
        <f t="shared" si="23"/>
        <v>1.5559474191842467E-05</v>
      </c>
    </row>
    <row r="114" spans="1:15" ht="12.75" customHeight="1">
      <c r="A114" s="28"/>
      <c r="B114" s="18" t="s">
        <v>218</v>
      </c>
      <c r="C114" s="29" t="s">
        <v>219</v>
      </c>
      <c r="D114" s="8"/>
      <c r="E114" s="20"/>
      <c r="F114" s="20"/>
      <c r="G114" s="20"/>
      <c r="H114" s="20"/>
      <c r="I114" s="20"/>
      <c r="J114" s="20"/>
      <c r="K114" s="8">
        <v>1000</v>
      </c>
      <c r="L114" s="20">
        <v>0</v>
      </c>
      <c r="M114" s="24">
        <f t="shared" si="24"/>
        <v>1000</v>
      </c>
      <c r="N114" s="24">
        <v>0</v>
      </c>
      <c r="O114" s="240">
        <f t="shared" si="23"/>
        <v>3.1118948383684935E-05</v>
      </c>
    </row>
    <row r="115" spans="1:15" s="37" customFormat="1" ht="15.75" customHeight="1">
      <c r="A115" s="17" t="s">
        <v>351</v>
      </c>
      <c r="B115" s="27"/>
      <c r="C115" s="4" t="s">
        <v>352</v>
      </c>
      <c r="D115" s="7" t="e">
        <f>D117+D118+D119+D122+D134+#REF!</f>
        <v>#REF!</v>
      </c>
      <c r="E115" s="7" t="e">
        <f>E117+E118+E119+E121+E122+#REF!+E123+E124+#REF!+E126+E129+E131+E132+E134+#REF!+E133</f>
        <v>#REF!</v>
      </c>
      <c r="F115" s="7" t="e">
        <f>F117+F118+F119+F121+F122+#REF!+F123+F124+#REF!+F126+F129+F131+F132+F134+#REF!+F133</f>
        <v>#REF!</v>
      </c>
      <c r="G115" s="7" t="e">
        <f>G117+G118+G119+G121+G122+#REF!+G123+G124+#REF!+G126+G129+G131+G132+G134+#REF!+G133</f>
        <v>#REF!</v>
      </c>
      <c r="H115" s="7" t="e">
        <f>H117+H118+H119+H121+H116+#REF!+H123+H124+#REF!+H126+H129+H131+H132+H133+H134+H135+#REF!+H130</f>
        <v>#REF!</v>
      </c>
      <c r="I115" s="7" t="e">
        <f>I117+I118+I119+I121+I116+#REF!+I123+I124+#REF!+I126+I129+I131+I132+I133+I134+I135+#REF!+I130</f>
        <v>#REF!</v>
      </c>
      <c r="J115" s="7" t="e">
        <f>J117+J118+J119+J121+J116+#REF!+J123+J124+#REF!+J126+J129+J131+J132+J133+J134+J135+#REF!+J130</f>
        <v>#REF!</v>
      </c>
      <c r="K115" s="7">
        <f>SUM(K116:K138)</f>
        <v>2255383</v>
      </c>
      <c r="L115" s="7">
        <f>SUM(L116:L138)</f>
        <v>0</v>
      </c>
      <c r="M115" s="7">
        <f>SUM(M116:M138)</f>
        <v>2203383</v>
      </c>
      <c r="N115" s="7">
        <f>SUM(N116:N138)</f>
        <v>52000</v>
      </c>
      <c r="O115" s="281">
        <f t="shared" si="23"/>
        <v>0.07018514716244048</v>
      </c>
    </row>
    <row r="116" spans="1:15" ht="16.5" customHeight="1">
      <c r="A116" s="30"/>
      <c r="B116" s="31" t="s">
        <v>269</v>
      </c>
      <c r="C116" s="29" t="s">
        <v>112</v>
      </c>
      <c r="D116" s="8"/>
      <c r="E116" s="20"/>
      <c r="F116" s="20"/>
      <c r="G116" s="20"/>
      <c r="H116" s="20">
        <v>216</v>
      </c>
      <c r="I116" s="20">
        <v>0</v>
      </c>
      <c r="J116" s="20">
        <v>0</v>
      </c>
      <c r="K116" s="8">
        <v>300</v>
      </c>
      <c r="L116" s="20">
        <v>0</v>
      </c>
      <c r="M116" s="24">
        <f>K116</f>
        <v>300</v>
      </c>
      <c r="N116" s="24">
        <v>0</v>
      </c>
      <c r="O116" s="240">
        <f t="shared" si="23"/>
        <v>9.33568451510548E-06</v>
      </c>
    </row>
    <row r="117" spans="1:15" ht="15.75" customHeight="1">
      <c r="A117" s="30"/>
      <c r="B117" s="31" t="s">
        <v>281</v>
      </c>
      <c r="C117" s="29" t="s">
        <v>177</v>
      </c>
      <c r="D117" s="8">
        <v>1172382</v>
      </c>
      <c r="E117" s="20">
        <v>1396150</v>
      </c>
      <c r="F117" s="20">
        <v>0</v>
      </c>
      <c r="G117" s="20">
        <v>0</v>
      </c>
      <c r="H117" s="20">
        <v>1069576</v>
      </c>
      <c r="I117" s="20">
        <v>0</v>
      </c>
      <c r="J117" s="20">
        <v>0</v>
      </c>
      <c r="K117" s="8">
        <v>1394107</v>
      </c>
      <c r="L117" s="20">
        <v>0</v>
      </c>
      <c r="M117" s="24">
        <f>K117</f>
        <v>1394107</v>
      </c>
      <c r="N117" s="24">
        <v>0</v>
      </c>
      <c r="O117" s="240">
        <f t="shared" si="23"/>
        <v>0.04338314377433385</v>
      </c>
    </row>
    <row r="118" spans="1:15" ht="16.5" customHeight="1">
      <c r="A118" s="30"/>
      <c r="B118" s="31" t="s">
        <v>285</v>
      </c>
      <c r="C118" s="29" t="s">
        <v>286</v>
      </c>
      <c r="D118" s="8">
        <v>77447</v>
      </c>
      <c r="E118" s="20">
        <v>95133</v>
      </c>
      <c r="F118" s="20">
        <v>0</v>
      </c>
      <c r="G118" s="20">
        <v>0</v>
      </c>
      <c r="H118" s="20">
        <v>81433</v>
      </c>
      <c r="I118" s="20">
        <v>0</v>
      </c>
      <c r="J118" s="20">
        <v>0</v>
      </c>
      <c r="K118" s="8">
        <v>77068</v>
      </c>
      <c r="L118" s="20">
        <v>0</v>
      </c>
      <c r="M118" s="24">
        <f aca="true" t="shared" si="25" ref="M118:M135">K118</f>
        <v>77068</v>
      </c>
      <c r="N118" s="24">
        <v>0</v>
      </c>
      <c r="O118" s="240">
        <f t="shared" si="23"/>
        <v>0.0023982751140338306</v>
      </c>
    </row>
    <row r="119" spans="1:15" ht="15" customHeight="1">
      <c r="A119" s="30"/>
      <c r="B119" s="32" t="s">
        <v>338</v>
      </c>
      <c r="C119" s="29" t="s">
        <v>315</v>
      </c>
      <c r="D119" s="8">
        <v>236159</v>
      </c>
      <c r="E119" s="20">
        <v>262390</v>
      </c>
      <c r="F119" s="20">
        <v>0</v>
      </c>
      <c r="G119" s="20">
        <v>0</v>
      </c>
      <c r="H119" s="20">
        <v>195558</v>
      </c>
      <c r="I119" s="20">
        <v>0</v>
      </c>
      <c r="J119" s="20">
        <v>0</v>
      </c>
      <c r="K119" s="8">
        <v>197576</v>
      </c>
      <c r="L119" s="20">
        <v>0</v>
      </c>
      <c r="M119" s="24">
        <f t="shared" si="25"/>
        <v>197576</v>
      </c>
      <c r="N119" s="24">
        <v>0</v>
      </c>
      <c r="O119" s="240">
        <f t="shared" si="23"/>
        <v>0.006148357345854934</v>
      </c>
    </row>
    <row r="120" spans="1:15" ht="15" customHeight="1">
      <c r="A120" s="30"/>
      <c r="B120" s="32" t="s">
        <v>37</v>
      </c>
      <c r="C120" s="29" t="s">
        <v>52</v>
      </c>
      <c r="D120" s="8"/>
      <c r="E120" s="20"/>
      <c r="F120" s="20"/>
      <c r="G120" s="20"/>
      <c r="H120" s="20"/>
      <c r="I120" s="20"/>
      <c r="J120" s="20"/>
      <c r="K120" s="8">
        <v>2000</v>
      </c>
      <c r="L120" s="20">
        <v>0</v>
      </c>
      <c r="M120" s="24">
        <f>K120</f>
        <v>2000</v>
      </c>
      <c r="N120" s="24">
        <v>0</v>
      </c>
      <c r="O120" s="240">
        <f t="shared" si="23"/>
        <v>6.223789676736987E-05</v>
      </c>
    </row>
    <row r="121" spans="1:15" ht="13.5" customHeight="1">
      <c r="A121" s="30"/>
      <c r="B121" s="32" t="s">
        <v>289</v>
      </c>
      <c r="C121" s="29" t="s">
        <v>290</v>
      </c>
      <c r="D121" s="8"/>
      <c r="E121" s="20">
        <v>35746</v>
      </c>
      <c r="F121" s="20">
        <v>0</v>
      </c>
      <c r="G121" s="20">
        <v>0</v>
      </c>
      <c r="H121" s="20">
        <v>27881</v>
      </c>
      <c r="I121" s="20">
        <v>0</v>
      </c>
      <c r="J121" s="20">
        <v>0</v>
      </c>
      <c r="K121" s="8">
        <v>31817</v>
      </c>
      <c r="L121" s="20">
        <v>0</v>
      </c>
      <c r="M121" s="24">
        <f t="shared" si="25"/>
        <v>31817</v>
      </c>
      <c r="N121" s="24">
        <v>0</v>
      </c>
      <c r="O121" s="240">
        <f t="shared" si="23"/>
        <v>0.0009901115807237036</v>
      </c>
    </row>
    <row r="122" spans="1:15" ht="0.75" customHeight="1" hidden="1">
      <c r="A122" s="30"/>
      <c r="B122" s="31"/>
      <c r="C122" s="29" t="s">
        <v>329</v>
      </c>
      <c r="D122" s="8">
        <v>673201</v>
      </c>
      <c r="E122" s="20">
        <v>5676</v>
      </c>
      <c r="F122" s="20">
        <v>0</v>
      </c>
      <c r="G122" s="20">
        <v>0</v>
      </c>
      <c r="H122" s="20"/>
      <c r="I122" s="20">
        <v>0</v>
      </c>
      <c r="J122" s="20">
        <v>0</v>
      </c>
      <c r="K122" s="8"/>
      <c r="L122" s="20"/>
      <c r="M122" s="24">
        <f t="shared" si="25"/>
        <v>0</v>
      </c>
      <c r="N122" s="24"/>
      <c r="O122" s="240">
        <f t="shared" si="23"/>
        <v>0</v>
      </c>
    </row>
    <row r="123" spans="1:15" ht="15.75" customHeight="1">
      <c r="A123" s="30"/>
      <c r="B123" s="31" t="s">
        <v>291</v>
      </c>
      <c r="C123" s="29" t="s">
        <v>318</v>
      </c>
      <c r="D123" s="8"/>
      <c r="E123" s="20">
        <v>125516</v>
      </c>
      <c r="F123" s="20">
        <v>18656</v>
      </c>
      <c r="G123" s="20">
        <v>0</v>
      </c>
      <c r="H123" s="20">
        <v>70370</v>
      </c>
      <c r="I123" s="20">
        <v>0</v>
      </c>
      <c r="J123" s="20">
        <v>0</v>
      </c>
      <c r="K123" s="8">
        <v>58200</v>
      </c>
      <c r="L123" s="20">
        <v>0</v>
      </c>
      <c r="M123" s="24">
        <f t="shared" si="25"/>
        <v>58200</v>
      </c>
      <c r="N123" s="24">
        <v>0</v>
      </c>
      <c r="O123" s="240">
        <f t="shared" si="23"/>
        <v>0.0018111227959304631</v>
      </c>
    </row>
    <row r="124" spans="1:15" ht="15.75" customHeight="1">
      <c r="A124" s="30"/>
      <c r="B124" s="31" t="s">
        <v>293</v>
      </c>
      <c r="C124" s="29" t="s">
        <v>294</v>
      </c>
      <c r="D124" s="8"/>
      <c r="E124" s="20">
        <v>60600</v>
      </c>
      <c r="F124" s="20">
        <v>0</v>
      </c>
      <c r="G124" s="20">
        <v>0</v>
      </c>
      <c r="H124" s="20">
        <v>70000</v>
      </c>
      <c r="I124" s="20">
        <v>0</v>
      </c>
      <c r="J124" s="20">
        <v>0</v>
      </c>
      <c r="K124" s="8">
        <v>45200</v>
      </c>
      <c r="L124" s="20">
        <v>0</v>
      </c>
      <c r="M124" s="24">
        <f t="shared" si="25"/>
        <v>45200</v>
      </c>
      <c r="N124" s="24">
        <v>0</v>
      </c>
      <c r="O124" s="240">
        <f t="shared" si="23"/>
        <v>0.001406576466942559</v>
      </c>
    </row>
    <row r="125" spans="1:15" ht="15.75" customHeight="1">
      <c r="A125" s="30"/>
      <c r="B125" s="31" t="s">
        <v>295</v>
      </c>
      <c r="C125" s="29" t="s">
        <v>384</v>
      </c>
      <c r="D125" s="8"/>
      <c r="E125" s="20"/>
      <c r="F125" s="20"/>
      <c r="G125" s="20"/>
      <c r="H125" s="20"/>
      <c r="I125" s="20"/>
      <c r="J125" s="20"/>
      <c r="K125" s="8">
        <v>0</v>
      </c>
      <c r="L125" s="20">
        <v>0</v>
      </c>
      <c r="M125" s="24">
        <f>K125</f>
        <v>0</v>
      </c>
      <c r="N125" s="24">
        <v>0</v>
      </c>
      <c r="O125" s="240">
        <f t="shared" si="23"/>
        <v>0</v>
      </c>
    </row>
    <row r="126" spans="1:15" ht="13.5" customHeight="1">
      <c r="A126" s="30"/>
      <c r="B126" s="31" t="s">
        <v>297</v>
      </c>
      <c r="C126" s="29" t="s">
        <v>298</v>
      </c>
      <c r="D126" s="8"/>
      <c r="E126" s="20">
        <v>427481</v>
      </c>
      <c r="F126" s="20">
        <v>18859</v>
      </c>
      <c r="G126" s="20">
        <v>0</v>
      </c>
      <c r="H126" s="20">
        <v>385087</v>
      </c>
      <c r="I126" s="20">
        <v>0</v>
      </c>
      <c r="J126" s="20">
        <v>0</v>
      </c>
      <c r="K126" s="8">
        <v>347435</v>
      </c>
      <c r="L126" s="20">
        <v>0</v>
      </c>
      <c r="M126" s="24">
        <f t="shared" si="25"/>
        <v>347435</v>
      </c>
      <c r="N126" s="24">
        <v>0</v>
      </c>
      <c r="O126" s="240">
        <f t="shared" si="23"/>
        <v>0.010811811831685574</v>
      </c>
    </row>
    <row r="127" spans="1:15" ht="13.5" customHeight="1" hidden="1">
      <c r="A127" s="30"/>
      <c r="B127" s="31" t="s">
        <v>745</v>
      </c>
      <c r="C127" s="29" t="s">
        <v>298</v>
      </c>
      <c r="D127" s="8"/>
      <c r="E127" s="20"/>
      <c r="F127" s="20"/>
      <c r="G127" s="20"/>
      <c r="H127" s="20"/>
      <c r="I127" s="20"/>
      <c r="J127" s="20"/>
      <c r="K127" s="8">
        <v>0</v>
      </c>
      <c r="L127" s="20">
        <v>0</v>
      </c>
      <c r="M127" s="24">
        <f>K127</f>
        <v>0</v>
      </c>
      <c r="N127" s="24">
        <v>0</v>
      </c>
      <c r="O127" s="240">
        <f t="shared" si="23"/>
        <v>0</v>
      </c>
    </row>
    <row r="128" spans="1:15" ht="13.5" customHeight="1">
      <c r="A128" s="30"/>
      <c r="B128" s="31" t="s">
        <v>53</v>
      </c>
      <c r="C128" s="29" t="s">
        <v>732</v>
      </c>
      <c r="D128" s="8"/>
      <c r="E128" s="20"/>
      <c r="F128" s="20"/>
      <c r="G128" s="20"/>
      <c r="H128" s="20"/>
      <c r="I128" s="20"/>
      <c r="J128" s="20"/>
      <c r="K128" s="8">
        <v>3600</v>
      </c>
      <c r="L128" s="20">
        <v>0</v>
      </c>
      <c r="M128" s="24">
        <f>K128</f>
        <v>3600</v>
      </c>
      <c r="N128" s="24">
        <v>0</v>
      </c>
      <c r="O128" s="240">
        <f t="shared" si="23"/>
        <v>0.00011202821418126576</v>
      </c>
    </row>
    <row r="129" spans="1:15" ht="14.25" customHeight="1">
      <c r="A129" s="30"/>
      <c r="B129" s="31" t="s">
        <v>299</v>
      </c>
      <c r="C129" s="29" t="s">
        <v>300</v>
      </c>
      <c r="D129" s="8"/>
      <c r="E129" s="20">
        <v>10250</v>
      </c>
      <c r="F129" s="20">
        <v>761</v>
      </c>
      <c r="G129" s="20">
        <v>0</v>
      </c>
      <c r="H129" s="20">
        <v>7000</v>
      </c>
      <c r="I129" s="20">
        <v>0</v>
      </c>
      <c r="J129" s="20">
        <v>0</v>
      </c>
      <c r="K129" s="8">
        <v>8850</v>
      </c>
      <c r="L129" s="20">
        <v>0</v>
      </c>
      <c r="M129" s="24">
        <f t="shared" si="25"/>
        <v>8850</v>
      </c>
      <c r="N129" s="24">
        <v>0</v>
      </c>
      <c r="O129" s="240">
        <f t="shared" si="23"/>
        <v>0.00027540269319561165</v>
      </c>
    </row>
    <row r="130" spans="1:15" ht="14.25" customHeight="1">
      <c r="A130" s="30"/>
      <c r="B130" s="31" t="s">
        <v>218</v>
      </c>
      <c r="C130" s="29" t="s">
        <v>219</v>
      </c>
      <c r="D130" s="8"/>
      <c r="E130" s="20"/>
      <c r="F130" s="20"/>
      <c r="G130" s="20"/>
      <c r="H130" s="20">
        <v>1000</v>
      </c>
      <c r="I130" s="20">
        <v>0</v>
      </c>
      <c r="J130" s="20">
        <v>0</v>
      </c>
      <c r="K130" s="8">
        <v>2000</v>
      </c>
      <c r="L130" s="20">
        <v>0</v>
      </c>
      <c r="M130" s="24">
        <f t="shared" si="25"/>
        <v>2000</v>
      </c>
      <c r="N130" s="24">
        <v>0</v>
      </c>
      <c r="O130" s="240">
        <f t="shared" si="23"/>
        <v>6.223789676736987E-05</v>
      </c>
    </row>
    <row r="131" spans="1:15" ht="15.75" customHeight="1">
      <c r="A131" s="30"/>
      <c r="B131" s="31" t="s">
        <v>301</v>
      </c>
      <c r="C131" s="29" t="s">
        <v>302</v>
      </c>
      <c r="D131" s="8"/>
      <c r="E131" s="20">
        <v>14454</v>
      </c>
      <c r="F131" s="20">
        <v>0</v>
      </c>
      <c r="G131" s="20">
        <v>761</v>
      </c>
      <c r="H131" s="20">
        <v>11800</v>
      </c>
      <c r="I131" s="20">
        <v>0</v>
      </c>
      <c r="J131" s="20">
        <v>0</v>
      </c>
      <c r="K131" s="8">
        <v>617</v>
      </c>
      <c r="L131" s="20">
        <v>0</v>
      </c>
      <c r="M131" s="24">
        <f t="shared" si="25"/>
        <v>617</v>
      </c>
      <c r="N131" s="24">
        <v>0</v>
      </c>
      <c r="O131" s="240">
        <f t="shared" si="23"/>
        <v>1.9200391152733605E-05</v>
      </c>
    </row>
    <row r="132" spans="1:15" ht="15.75" customHeight="1">
      <c r="A132" s="30"/>
      <c r="B132" s="31" t="s">
        <v>303</v>
      </c>
      <c r="C132" s="29" t="s">
        <v>304</v>
      </c>
      <c r="D132" s="8"/>
      <c r="E132" s="20">
        <v>40505</v>
      </c>
      <c r="F132" s="20">
        <v>0</v>
      </c>
      <c r="G132" s="20">
        <v>0</v>
      </c>
      <c r="H132" s="20">
        <v>29427</v>
      </c>
      <c r="I132" s="20">
        <v>0</v>
      </c>
      <c r="J132" s="20">
        <v>0</v>
      </c>
      <c r="K132" s="8">
        <v>32363</v>
      </c>
      <c r="L132" s="20">
        <v>0</v>
      </c>
      <c r="M132" s="24">
        <f t="shared" si="25"/>
        <v>32363</v>
      </c>
      <c r="N132" s="24">
        <v>0</v>
      </c>
      <c r="O132" s="240">
        <f t="shared" si="23"/>
        <v>0.0010071025265411956</v>
      </c>
    </row>
    <row r="133" spans="1:15" ht="16.5" customHeight="1" hidden="1">
      <c r="A133" s="30"/>
      <c r="B133" s="31" t="s">
        <v>97</v>
      </c>
      <c r="C133" s="29" t="s">
        <v>114</v>
      </c>
      <c r="D133" s="8"/>
      <c r="E133" s="20">
        <v>2563</v>
      </c>
      <c r="F133" s="20">
        <v>0</v>
      </c>
      <c r="G133" s="20">
        <v>0</v>
      </c>
      <c r="H133" s="20">
        <v>0</v>
      </c>
      <c r="I133" s="20">
        <v>0</v>
      </c>
      <c r="J133" s="20">
        <v>0</v>
      </c>
      <c r="K133" s="8"/>
      <c r="L133" s="20">
        <v>0</v>
      </c>
      <c r="M133" s="24">
        <f t="shared" si="25"/>
        <v>0</v>
      </c>
      <c r="N133" s="24">
        <v>0</v>
      </c>
      <c r="O133" s="240">
        <f t="shared" si="23"/>
        <v>0</v>
      </c>
    </row>
    <row r="134" spans="1:15" ht="15.75" customHeight="1">
      <c r="A134" s="17"/>
      <c r="B134" s="32" t="s">
        <v>319</v>
      </c>
      <c r="C134" s="29" t="s">
        <v>320</v>
      </c>
      <c r="D134" s="8">
        <v>41000</v>
      </c>
      <c r="E134" s="20">
        <v>17600</v>
      </c>
      <c r="F134" s="20">
        <v>0</v>
      </c>
      <c r="G134" s="20">
        <v>0</v>
      </c>
      <c r="H134" s="20">
        <v>153</v>
      </c>
      <c r="I134" s="20">
        <v>0</v>
      </c>
      <c r="J134" s="20">
        <v>0</v>
      </c>
      <c r="K134" s="8">
        <v>250</v>
      </c>
      <c r="L134" s="20">
        <v>0</v>
      </c>
      <c r="M134" s="24">
        <f t="shared" si="25"/>
        <v>250</v>
      </c>
      <c r="N134" s="24">
        <v>0</v>
      </c>
      <c r="O134" s="240">
        <f t="shared" si="23"/>
        <v>7.779737095921234E-06</v>
      </c>
    </row>
    <row r="135" spans="1:15" ht="13.5" customHeight="1">
      <c r="A135" s="17"/>
      <c r="B135" s="32" t="s">
        <v>80</v>
      </c>
      <c r="C135" s="29" t="s">
        <v>747</v>
      </c>
      <c r="D135" s="8"/>
      <c r="E135" s="20"/>
      <c r="F135" s="20"/>
      <c r="G135" s="20"/>
      <c r="H135" s="20">
        <v>500</v>
      </c>
      <c r="I135" s="20">
        <v>0</v>
      </c>
      <c r="J135" s="20">
        <v>0</v>
      </c>
      <c r="K135" s="8">
        <v>2000</v>
      </c>
      <c r="L135" s="20">
        <v>0</v>
      </c>
      <c r="M135" s="24">
        <f t="shared" si="25"/>
        <v>2000</v>
      </c>
      <c r="N135" s="24">
        <v>0</v>
      </c>
      <c r="O135" s="240">
        <f t="shared" si="23"/>
        <v>6.223789676736987E-05</v>
      </c>
    </row>
    <row r="136" spans="1:15" ht="13.5" customHeight="1">
      <c r="A136" s="17"/>
      <c r="B136" s="32" t="s">
        <v>344</v>
      </c>
      <c r="C136" s="29" t="s">
        <v>272</v>
      </c>
      <c r="D136" s="8"/>
      <c r="E136" s="20"/>
      <c r="F136" s="20"/>
      <c r="G136" s="20"/>
      <c r="H136" s="20"/>
      <c r="I136" s="20"/>
      <c r="J136" s="20"/>
      <c r="K136" s="8">
        <v>10000</v>
      </c>
      <c r="L136" s="20">
        <v>0</v>
      </c>
      <c r="M136" s="24">
        <v>0</v>
      </c>
      <c r="N136" s="24">
        <f>K136</f>
        <v>10000</v>
      </c>
      <c r="O136" s="240">
        <f t="shared" si="23"/>
        <v>0.00031118948383684935</v>
      </c>
    </row>
    <row r="137" spans="1:15" ht="43.5" customHeight="1">
      <c r="A137" s="30"/>
      <c r="B137" s="31" t="s">
        <v>3</v>
      </c>
      <c r="C137" s="208" t="s">
        <v>4</v>
      </c>
      <c r="D137" s="8"/>
      <c r="E137" s="20"/>
      <c r="F137" s="20"/>
      <c r="G137" s="20"/>
      <c r="H137" s="20"/>
      <c r="I137" s="20"/>
      <c r="J137" s="20"/>
      <c r="K137" s="8">
        <v>42000</v>
      </c>
      <c r="L137" s="20">
        <v>0</v>
      </c>
      <c r="M137" s="24">
        <v>0</v>
      </c>
      <c r="N137" s="24">
        <f>K137</f>
        <v>42000</v>
      </c>
      <c r="O137" s="240">
        <f t="shared" si="23"/>
        <v>0.001306995832114767</v>
      </c>
    </row>
    <row r="138" spans="1:15" ht="13.5" customHeight="1">
      <c r="A138" s="30"/>
      <c r="B138" s="31" t="s">
        <v>323</v>
      </c>
      <c r="C138" s="29" t="s">
        <v>176</v>
      </c>
      <c r="D138" s="8"/>
      <c r="E138" s="20"/>
      <c r="F138" s="20"/>
      <c r="G138" s="20"/>
      <c r="H138" s="20"/>
      <c r="I138" s="20"/>
      <c r="J138" s="20"/>
      <c r="K138" s="8">
        <v>0</v>
      </c>
      <c r="L138" s="20">
        <v>0</v>
      </c>
      <c r="M138" s="24">
        <v>0</v>
      </c>
      <c r="N138" s="24">
        <f>K138</f>
        <v>0</v>
      </c>
      <c r="O138" s="240">
        <f t="shared" si="23"/>
        <v>0</v>
      </c>
    </row>
    <row r="139" spans="1:15" ht="15" customHeight="1">
      <c r="A139" s="17" t="s">
        <v>353</v>
      </c>
      <c r="B139" s="27"/>
      <c r="C139" s="4" t="s">
        <v>354</v>
      </c>
      <c r="D139" s="7">
        <f>D141</f>
        <v>22000</v>
      </c>
      <c r="E139" s="7">
        <f>E141+E142+E143+E145+E146+E147</f>
        <v>25987</v>
      </c>
      <c r="F139" s="7">
        <f>F141+F142+F143+F145+F146+F147</f>
        <v>0</v>
      </c>
      <c r="G139" s="7">
        <f>G141+G142+G143+G145+G146+G147</f>
        <v>0</v>
      </c>
      <c r="H139" s="7">
        <f>H140+H141+H142+H145+H146+H147</f>
        <v>14177</v>
      </c>
      <c r="I139" s="7">
        <f>I140+I141+I142+I145+I146+I147</f>
        <v>0</v>
      </c>
      <c r="J139" s="7">
        <f>J140+J141+J142+J145+J146+J147</f>
        <v>0</v>
      </c>
      <c r="K139" s="7">
        <f>K140+K141+K142+K144+K145+K146+K147</f>
        <v>13000</v>
      </c>
      <c r="L139" s="7">
        <f>L141+L142+L144+L145+L146+L147+L140</f>
        <v>13000</v>
      </c>
      <c r="M139" s="19">
        <f>M140+M141+M142+M144+M145+M146+M147</f>
        <v>0</v>
      </c>
      <c r="N139" s="19">
        <f>N140+N141+N142+N144+N145+N146+N147</f>
        <v>0</v>
      </c>
      <c r="O139" s="240">
        <f aca="true" t="shared" si="26" ref="O139:O153">K139/$K$616</f>
        <v>0.0004045463289879041</v>
      </c>
    </row>
    <row r="140" spans="1:15" ht="16.5" customHeight="1">
      <c r="A140" s="17"/>
      <c r="B140" s="31" t="s">
        <v>279</v>
      </c>
      <c r="C140" s="29" t="s">
        <v>348</v>
      </c>
      <c r="D140" s="20"/>
      <c r="E140" s="20"/>
      <c r="F140" s="20"/>
      <c r="G140" s="20"/>
      <c r="H140" s="20">
        <v>5842</v>
      </c>
      <c r="I140" s="20">
        <v>0</v>
      </c>
      <c r="J140" s="20">
        <v>0</v>
      </c>
      <c r="K140" s="8">
        <v>6300</v>
      </c>
      <c r="L140" s="20">
        <f>K140</f>
        <v>6300</v>
      </c>
      <c r="M140" s="21">
        <v>0</v>
      </c>
      <c r="N140" s="21">
        <v>0</v>
      </c>
      <c r="O140" s="240">
        <f t="shared" si="26"/>
        <v>0.00019604937481721509</v>
      </c>
    </row>
    <row r="141" spans="1:15" ht="15.75" customHeight="1">
      <c r="A141" s="30"/>
      <c r="B141" s="31" t="s">
        <v>314</v>
      </c>
      <c r="C141" s="29" t="s">
        <v>355</v>
      </c>
      <c r="D141" s="8">
        <v>22000</v>
      </c>
      <c r="E141" s="20">
        <v>963</v>
      </c>
      <c r="F141" s="20">
        <v>0</v>
      </c>
      <c r="G141" s="20">
        <v>0</v>
      </c>
      <c r="H141" s="20">
        <v>465</v>
      </c>
      <c r="I141" s="20">
        <v>0</v>
      </c>
      <c r="J141" s="20">
        <v>0</v>
      </c>
      <c r="K141" s="8">
        <v>560</v>
      </c>
      <c r="L141" s="20">
        <f aca="true" t="shared" si="27" ref="L141:L147">K141</f>
        <v>560</v>
      </c>
      <c r="M141" s="24">
        <v>0</v>
      </c>
      <c r="N141" s="24">
        <v>0</v>
      </c>
      <c r="O141" s="240">
        <f t="shared" si="26"/>
        <v>1.7426611094863564E-05</v>
      </c>
    </row>
    <row r="142" spans="1:15" ht="15.75" customHeight="1">
      <c r="A142" s="30"/>
      <c r="B142" s="31" t="s">
        <v>289</v>
      </c>
      <c r="C142" s="29" t="s">
        <v>290</v>
      </c>
      <c r="D142" s="8"/>
      <c r="E142" s="20">
        <v>132</v>
      </c>
      <c r="F142" s="20">
        <v>0</v>
      </c>
      <c r="G142" s="20">
        <v>0</v>
      </c>
      <c r="H142" s="20">
        <v>66</v>
      </c>
      <c r="I142" s="20">
        <v>0</v>
      </c>
      <c r="J142" s="20">
        <v>0</v>
      </c>
      <c r="K142" s="8">
        <v>80</v>
      </c>
      <c r="L142" s="20">
        <f t="shared" si="27"/>
        <v>80</v>
      </c>
      <c r="M142" s="24">
        <v>0</v>
      </c>
      <c r="N142" s="24">
        <v>0</v>
      </c>
      <c r="O142" s="240">
        <f t="shared" si="26"/>
        <v>2.4895158706947947E-06</v>
      </c>
    </row>
    <row r="143" spans="1:15" ht="15.75" customHeight="1" hidden="1">
      <c r="A143" s="30"/>
      <c r="B143" s="31"/>
      <c r="C143" s="29" t="s">
        <v>329</v>
      </c>
      <c r="D143" s="8"/>
      <c r="E143" s="20">
        <v>16126</v>
      </c>
      <c r="F143" s="20">
        <v>0</v>
      </c>
      <c r="G143" s="20">
        <v>0</v>
      </c>
      <c r="H143" s="20"/>
      <c r="I143" s="20"/>
      <c r="J143" s="20"/>
      <c r="K143" s="8"/>
      <c r="L143" s="20">
        <f t="shared" si="27"/>
        <v>0</v>
      </c>
      <c r="M143" s="24"/>
      <c r="N143" s="24"/>
      <c r="O143" s="240">
        <f t="shared" si="26"/>
        <v>0</v>
      </c>
    </row>
    <row r="144" spans="1:15" ht="15.75" customHeight="1">
      <c r="A144" s="30"/>
      <c r="B144" s="31" t="s">
        <v>37</v>
      </c>
      <c r="C144" s="29" t="s">
        <v>52</v>
      </c>
      <c r="D144" s="8"/>
      <c r="E144" s="20"/>
      <c r="F144" s="20"/>
      <c r="G144" s="20"/>
      <c r="H144" s="20"/>
      <c r="I144" s="20"/>
      <c r="J144" s="20"/>
      <c r="K144" s="8">
        <v>4150</v>
      </c>
      <c r="L144" s="20">
        <f>K144</f>
        <v>4150</v>
      </c>
      <c r="M144" s="24">
        <v>0</v>
      </c>
      <c r="N144" s="24">
        <v>0</v>
      </c>
      <c r="O144" s="240">
        <f t="shared" si="26"/>
        <v>0.00012914363579229248</v>
      </c>
    </row>
    <row r="145" spans="1:15" ht="16.5" customHeight="1">
      <c r="A145" s="30"/>
      <c r="B145" s="31" t="s">
        <v>291</v>
      </c>
      <c r="C145" s="29" t="s">
        <v>318</v>
      </c>
      <c r="D145" s="8"/>
      <c r="E145" s="20">
        <v>6208</v>
      </c>
      <c r="F145" s="20">
        <v>0</v>
      </c>
      <c r="G145" s="20">
        <v>0</v>
      </c>
      <c r="H145" s="20">
        <v>3642</v>
      </c>
      <c r="I145" s="20">
        <v>0</v>
      </c>
      <c r="J145" s="20">
        <v>0</v>
      </c>
      <c r="K145" s="8">
        <v>810</v>
      </c>
      <c r="L145" s="20">
        <f t="shared" si="27"/>
        <v>810</v>
      </c>
      <c r="M145" s="24">
        <v>0</v>
      </c>
      <c r="N145" s="24">
        <v>0</v>
      </c>
      <c r="O145" s="240">
        <f t="shared" si="26"/>
        <v>2.5206348190784797E-05</v>
      </c>
    </row>
    <row r="146" spans="1:15" ht="15.75" customHeight="1">
      <c r="A146" s="30"/>
      <c r="B146" s="31" t="s">
        <v>297</v>
      </c>
      <c r="C146" s="29" t="s">
        <v>298</v>
      </c>
      <c r="D146" s="8"/>
      <c r="E146" s="20">
        <v>2165</v>
      </c>
      <c r="F146" s="20">
        <v>0</v>
      </c>
      <c r="G146" s="20">
        <v>0</v>
      </c>
      <c r="H146" s="20">
        <v>3948</v>
      </c>
      <c r="I146" s="20">
        <v>0</v>
      </c>
      <c r="J146" s="20">
        <v>0</v>
      </c>
      <c r="K146" s="8">
        <v>850</v>
      </c>
      <c r="L146" s="20">
        <f t="shared" si="27"/>
        <v>850</v>
      </c>
      <c r="M146" s="24">
        <v>0</v>
      </c>
      <c r="N146" s="24">
        <v>0</v>
      </c>
      <c r="O146" s="240">
        <f t="shared" si="26"/>
        <v>2.6451106126132192E-05</v>
      </c>
    </row>
    <row r="147" spans="1:15" ht="15.75" customHeight="1">
      <c r="A147" s="30"/>
      <c r="B147" s="31" t="s">
        <v>299</v>
      </c>
      <c r="C147" s="29" t="s">
        <v>300</v>
      </c>
      <c r="D147" s="8"/>
      <c r="E147" s="20">
        <v>393</v>
      </c>
      <c r="F147" s="20">
        <v>0</v>
      </c>
      <c r="G147" s="20">
        <v>0</v>
      </c>
      <c r="H147" s="20">
        <v>214</v>
      </c>
      <c r="I147" s="20">
        <v>0</v>
      </c>
      <c r="J147" s="20">
        <v>0</v>
      </c>
      <c r="K147" s="8">
        <v>250</v>
      </c>
      <c r="L147" s="20">
        <f t="shared" si="27"/>
        <v>250</v>
      </c>
      <c r="M147" s="24">
        <v>0</v>
      </c>
      <c r="N147" s="24">
        <v>0</v>
      </c>
      <c r="O147" s="240">
        <f t="shared" si="26"/>
        <v>7.779737095921234E-06</v>
      </c>
    </row>
    <row r="148" spans="1:15" s="37" customFormat="1" ht="24.75" customHeight="1">
      <c r="A148" s="17" t="s">
        <v>557</v>
      </c>
      <c r="B148" s="27"/>
      <c r="C148" s="4" t="s">
        <v>558</v>
      </c>
      <c r="D148" s="7"/>
      <c r="E148" s="7"/>
      <c r="F148" s="7"/>
      <c r="G148" s="7"/>
      <c r="H148" s="7"/>
      <c r="I148" s="7"/>
      <c r="J148" s="7"/>
      <c r="K148" s="7">
        <f>SUM(K149:K152)</f>
        <v>13000</v>
      </c>
      <c r="L148" s="7">
        <f>SUM(L149:L152)</f>
        <v>0</v>
      </c>
      <c r="M148" s="7">
        <f>SUM(M149:M152)</f>
        <v>13000</v>
      </c>
      <c r="N148" s="7">
        <f>SUM(N149:N152)</f>
        <v>0</v>
      </c>
      <c r="O148" s="240">
        <f t="shared" si="26"/>
        <v>0.0004045463289879041</v>
      </c>
    </row>
    <row r="149" spans="1:15" ht="15.75" customHeight="1">
      <c r="A149" s="30"/>
      <c r="B149" s="31" t="s">
        <v>344</v>
      </c>
      <c r="C149" s="29" t="s">
        <v>559</v>
      </c>
      <c r="D149" s="8"/>
      <c r="E149" s="20"/>
      <c r="F149" s="20"/>
      <c r="G149" s="20"/>
      <c r="H149" s="20"/>
      <c r="I149" s="20"/>
      <c r="J149" s="20"/>
      <c r="K149" s="8">
        <v>0</v>
      </c>
      <c r="L149" s="20">
        <v>0</v>
      </c>
      <c r="M149" s="24">
        <v>0</v>
      </c>
      <c r="N149" s="24">
        <f>K149</f>
        <v>0</v>
      </c>
      <c r="O149" s="240">
        <f t="shared" si="26"/>
        <v>0</v>
      </c>
    </row>
    <row r="150" spans="1:15" ht="15.75" customHeight="1">
      <c r="A150" s="30"/>
      <c r="B150" s="31" t="s">
        <v>37</v>
      </c>
      <c r="C150" s="29" t="s">
        <v>560</v>
      </c>
      <c r="D150" s="8"/>
      <c r="E150" s="20"/>
      <c r="F150" s="20"/>
      <c r="G150" s="20"/>
      <c r="H150" s="20"/>
      <c r="I150" s="20"/>
      <c r="J150" s="20"/>
      <c r="K150" s="8">
        <v>1800</v>
      </c>
      <c r="L150" s="20">
        <v>0</v>
      </c>
      <c r="M150" s="24">
        <f>K150</f>
        <v>1800</v>
      </c>
      <c r="N150" s="24">
        <v>0</v>
      </c>
      <c r="O150" s="240">
        <f t="shared" si="26"/>
        <v>5.601410709063288E-05</v>
      </c>
    </row>
    <row r="151" spans="1:15" ht="15.75" customHeight="1">
      <c r="A151" s="30"/>
      <c r="B151" s="31" t="s">
        <v>291</v>
      </c>
      <c r="C151" s="29" t="s">
        <v>292</v>
      </c>
      <c r="D151" s="8"/>
      <c r="E151" s="20"/>
      <c r="F151" s="20"/>
      <c r="G151" s="20"/>
      <c r="H151" s="20"/>
      <c r="I151" s="20"/>
      <c r="J151" s="20"/>
      <c r="K151" s="8">
        <v>4000</v>
      </c>
      <c r="L151" s="20">
        <v>0</v>
      </c>
      <c r="M151" s="24">
        <f aca="true" t="shared" si="28" ref="M151:M166">K151</f>
        <v>4000</v>
      </c>
      <c r="N151" s="24">
        <v>0</v>
      </c>
      <c r="O151" s="240">
        <f t="shared" si="26"/>
        <v>0.00012447579353473974</v>
      </c>
    </row>
    <row r="152" spans="1:15" ht="15.75" customHeight="1">
      <c r="A152" s="54"/>
      <c r="B152" s="245" t="s">
        <v>297</v>
      </c>
      <c r="C152" s="117" t="s">
        <v>385</v>
      </c>
      <c r="D152" s="76"/>
      <c r="E152" s="118"/>
      <c r="F152" s="118"/>
      <c r="G152" s="118"/>
      <c r="H152" s="118"/>
      <c r="I152" s="118"/>
      <c r="J152" s="118"/>
      <c r="K152" s="76">
        <v>7200</v>
      </c>
      <c r="L152" s="20">
        <v>0</v>
      </c>
      <c r="M152" s="24">
        <f t="shared" si="28"/>
        <v>7200</v>
      </c>
      <c r="N152" s="48">
        <v>0</v>
      </c>
      <c r="O152" s="240">
        <f t="shared" si="26"/>
        <v>0.00022405642836253152</v>
      </c>
    </row>
    <row r="153" spans="1:15" s="8" customFormat="1" ht="15.75" customHeight="1">
      <c r="A153" s="17" t="s">
        <v>356</v>
      </c>
      <c r="B153" s="27"/>
      <c r="C153" s="4" t="s">
        <v>357</v>
      </c>
      <c r="D153" s="7">
        <f>D154</f>
        <v>11000</v>
      </c>
      <c r="E153" s="7">
        <f>E154+E160</f>
        <v>10000</v>
      </c>
      <c r="F153" s="7">
        <f>F154+F160</f>
        <v>0</v>
      </c>
      <c r="G153" s="7">
        <f>G154+G160</f>
        <v>0</v>
      </c>
      <c r="H153" s="7">
        <f>H158+H160</f>
        <v>8900</v>
      </c>
      <c r="I153" s="7">
        <f>I158+I160</f>
        <v>0</v>
      </c>
      <c r="J153" s="7">
        <f>J158+J160</f>
        <v>0</v>
      </c>
      <c r="K153" s="7">
        <f>SUM(K157:K160)</f>
        <v>12000</v>
      </c>
      <c r="L153" s="7"/>
      <c r="M153" s="19">
        <f t="shared" si="28"/>
        <v>12000</v>
      </c>
      <c r="N153" s="19">
        <f>N158+N157+N159+N160</f>
        <v>0</v>
      </c>
      <c r="O153" s="240">
        <f t="shared" si="26"/>
        <v>0.0003734273806042192</v>
      </c>
    </row>
    <row r="154" spans="1:15" ht="0.75" customHeight="1" hidden="1">
      <c r="A154" s="298"/>
      <c r="B154" s="299"/>
      <c r="C154" s="109" t="s">
        <v>329</v>
      </c>
      <c r="D154" s="40">
        <v>11000</v>
      </c>
      <c r="E154" s="200">
        <v>3000</v>
      </c>
      <c r="F154" s="200">
        <v>0</v>
      </c>
      <c r="G154" s="200">
        <v>0</v>
      </c>
      <c r="H154" s="200"/>
      <c r="I154" s="200"/>
      <c r="J154" s="200"/>
      <c r="K154" s="200"/>
      <c r="L154" s="20">
        <f aca="true" t="shared" si="29" ref="L154:L166">K154</f>
        <v>0</v>
      </c>
      <c r="M154" s="24">
        <f t="shared" si="28"/>
        <v>0</v>
      </c>
      <c r="N154" s="53">
        <v>0</v>
      </c>
      <c r="O154" s="240">
        <f>K154/$K$616</f>
        <v>0</v>
      </c>
    </row>
    <row r="155" spans="1:15" ht="0.75" customHeight="1" hidden="1">
      <c r="A155" s="30"/>
      <c r="B155" s="31"/>
      <c r="C155" s="29"/>
      <c r="D155" s="8"/>
      <c r="E155" s="20"/>
      <c r="F155" s="20"/>
      <c r="G155" s="20"/>
      <c r="H155" s="20"/>
      <c r="I155" s="20"/>
      <c r="J155" s="20"/>
      <c r="K155" s="20"/>
      <c r="L155" s="20">
        <f t="shared" si="29"/>
        <v>0</v>
      </c>
      <c r="M155" s="24">
        <f t="shared" si="28"/>
        <v>0</v>
      </c>
      <c r="N155" s="24"/>
      <c r="O155" s="240"/>
    </row>
    <row r="156" spans="1:15" ht="0.75" customHeight="1">
      <c r="A156" s="30"/>
      <c r="B156" s="31"/>
      <c r="C156" s="29"/>
      <c r="D156" s="8"/>
      <c r="E156" s="20"/>
      <c r="F156" s="20"/>
      <c r="G156" s="20"/>
      <c r="H156" s="20"/>
      <c r="I156" s="20"/>
      <c r="J156" s="20"/>
      <c r="K156" s="20"/>
      <c r="L156" s="20">
        <f t="shared" si="29"/>
        <v>0</v>
      </c>
      <c r="M156" s="24">
        <f t="shared" si="28"/>
        <v>0</v>
      </c>
      <c r="N156" s="24"/>
      <c r="O156" s="240"/>
    </row>
    <row r="157" spans="1:15" ht="15.75" customHeight="1">
      <c r="A157" s="30"/>
      <c r="B157" s="31" t="s">
        <v>37</v>
      </c>
      <c r="C157" s="29" t="s">
        <v>733</v>
      </c>
      <c r="D157" s="8"/>
      <c r="E157" s="20"/>
      <c r="F157" s="20"/>
      <c r="G157" s="20"/>
      <c r="H157" s="20"/>
      <c r="I157" s="20"/>
      <c r="J157" s="20"/>
      <c r="K157" s="8">
        <v>0</v>
      </c>
      <c r="L157" s="20">
        <v>0</v>
      </c>
      <c r="M157" s="24">
        <f t="shared" si="28"/>
        <v>0</v>
      </c>
      <c r="N157" s="24">
        <v>0</v>
      </c>
      <c r="O157" s="240">
        <f aca="true" t="shared" si="30" ref="O157:O188">K157/$K$616</f>
        <v>0</v>
      </c>
    </row>
    <row r="158" spans="1:15" ht="15.75" customHeight="1">
      <c r="A158" s="30"/>
      <c r="B158" s="31" t="s">
        <v>291</v>
      </c>
      <c r="C158" s="29" t="s">
        <v>318</v>
      </c>
      <c r="D158" s="8"/>
      <c r="E158" s="20"/>
      <c r="F158" s="20"/>
      <c r="G158" s="20"/>
      <c r="H158" s="20">
        <v>800</v>
      </c>
      <c r="I158" s="20">
        <v>0</v>
      </c>
      <c r="J158" s="20">
        <v>0</v>
      </c>
      <c r="K158" s="8">
        <v>700</v>
      </c>
      <c r="L158" s="20">
        <v>0</v>
      </c>
      <c r="M158" s="24">
        <f t="shared" si="28"/>
        <v>700</v>
      </c>
      <c r="N158" s="24">
        <v>0</v>
      </c>
      <c r="O158" s="240">
        <f t="shared" si="30"/>
        <v>2.1783263868579454E-05</v>
      </c>
    </row>
    <row r="159" spans="1:15" ht="15.75" customHeight="1">
      <c r="A159" s="30"/>
      <c r="B159" s="31" t="s">
        <v>297</v>
      </c>
      <c r="C159" s="29" t="s">
        <v>298</v>
      </c>
      <c r="D159" s="8"/>
      <c r="E159" s="20"/>
      <c r="F159" s="20"/>
      <c r="G159" s="20"/>
      <c r="H159" s="20"/>
      <c r="I159" s="20"/>
      <c r="J159" s="20"/>
      <c r="K159" s="8">
        <v>418</v>
      </c>
      <c r="L159" s="20">
        <v>0</v>
      </c>
      <c r="M159" s="24">
        <f t="shared" si="28"/>
        <v>418</v>
      </c>
      <c r="N159" s="24">
        <v>0</v>
      </c>
      <c r="O159" s="240">
        <f t="shared" si="30"/>
        <v>1.3007720424380302E-05</v>
      </c>
    </row>
    <row r="160" spans="1:15" ht="16.5" customHeight="1">
      <c r="A160" s="30"/>
      <c r="B160" s="31" t="s">
        <v>301</v>
      </c>
      <c r="C160" s="29" t="s">
        <v>449</v>
      </c>
      <c r="D160" s="8"/>
      <c r="E160" s="20">
        <v>7000</v>
      </c>
      <c r="F160" s="20">
        <v>0</v>
      </c>
      <c r="G160" s="20">
        <v>0</v>
      </c>
      <c r="H160" s="20">
        <v>8100</v>
      </c>
      <c r="I160" s="20">
        <v>0</v>
      </c>
      <c r="J160" s="20">
        <v>0</v>
      </c>
      <c r="K160" s="8">
        <v>10882</v>
      </c>
      <c r="L160" s="20">
        <v>0</v>
      </c>
      <c r="M160" s="24">
        <f t="shared" si="28"/>
        <v>10882</v>
      </c>
      <c r="N160" s="24">
        <v>0</v>
      </c>
      <c r="O160" s="240">
        <f t="shared" si="30"/>
        <v>0.00033863639631125943</v>
      </c>
    </row>
    <row r="161" spans="1:15" ht="53.25" customHeight="1" hidden="1">
      <c r="A161" s="17" t="s">
        <v>83</v>
      </c>
      <c r="B161" s="27"/>
      <c r="C161" s="4" t="s">
        <v>90</v>
      </c>
      <c r="D161" s="7"/>
      <c r="E161" s="7"/>
      <c r="F161" s="7"/>
      <c r="G161" s="7"/>
      <c r="H161" s="7">
        <f aca="true" t="shared" si="31" ref="H161:N161">H162</f>
        <v>0</v>
      </c>
      <c r="I161" s="7">
        <f t="shared" si="31"/>
        <v>0</v>
      </c>
      <c r="J161" s="7">
        <f t="shared" si="31"/>
        <v>0</v>
      </c>
      <c r="K161" s="7"/>
      <c r="L161" s="20">
        <f t="shared" si="29"/>
        <v>0</v>
      </c>
      <c r="M161" s="24">
        <f t="shared" si="28"/>
        <v>0</v>
      </c>
      <c r="N161" s="7">
        <f t="shared" si="31"/>
        <v>0</v>
      </c>
      <c r="O161" s="240">
        <f t="shared" si="30"/>
        <v>0</v>
      </c>
    </row>
    <row r="162" spans="1:15" ht="51" customHeight="1" hidden="1">
      <c r="A162" s="17" t="s">
        <v>84</v>
      </c>
      <c r="B162" s="27"/>
      <c r="C162" s="4" t="s">
        <v>99</v>
      </c>
      <c r="D162" s="7"/>
      <c r="E162" s="7"/>
      <c r="F162" s="7"/>
      <c r="G162" s="7"/>
      <c r="H162" s="7">
        <f aca="true" t="shared" si="32" ref="H162:N162">H163+H164+H165+H166</f>
        <v>0</v>
      </c>
      <c r="I162" s="7">
        <f t="shared" si="32"/>
        <v>0</v>
      </c>
      <c r="J162" s="7">
        <f t="shared" si="32"/>
        <v>0</v>
      </c>
      <c r="K162" s="7"/>
      <c r="L162" s="20">
        <f t="shared" si="29"/>
        <v>0</v>
      </c>
      <c r="M162" s="24">
        <f t="shared" si="28"/>
        <v>0</v>
      </c>
      <c r="N162" s="7">
        <f t="shared" si="32"/>
        <v>0</v>
      </c>
      <c r="O162" s="240">
        <f t="shared" si="30"/>
        <v>0</v>
      </c>
    </row>
    <row r="163" spans="1:15" ht="16.5" customHeight="1" hidden="1">
      <c r="A163" s="30"/>
      <c r="B163" s="31" t="s">
        <v>279</v>
      </c>
      <c r="C163" s="29" t="s">
        <v>280</v>
      </c>
      <c r="D163" s="20"/>
      <c r="E163" s="20"/>
      <c r="F163" s="20"/>
      <c r="G163" s="20"/>
      <c r="H163" s="20">
        <v>0</v>
      </c>
      <c r="I163" s="20">
        <v>0</v>
      </c>
      <c r="J163" s="20">
        <v>0</v>
      </c>
      <c r="K163" s="20"/>
      <c r="L163" s="20">
        <f t="shared" si="29"/>
        <v>0</v>
      </c>
      <c r="M163" s="24">
        <f t="shared" si="28"/>
        <v>0</v>
      </c>
      <c r="N163" s="21">
        <v>0</v>
      </c>
      <c r="O163" s="240">
        <f t="shared" si="30"/>
        <v>0</v>
      </c>
    </row>
    <row r="164" spans="1:15" ht="14.25" customHeight="1" hidden="1">
      <c r="A164" s="30"/>
      <c r="B164" s="31" t="s">
        <v>291</v>
      </c>
      <c r="C164" s="29" t="s">
        <v>292</v>
      </c>
      <c r="D164" s="20"/>
      <c r="E164" s="20"/>
      <c r="F164" s="20"/>
      <c r="G164" s="20"/>
      <c r="H164" s="20">
        <v>0</v>
      </c>
      <c r="I164" s="20">
        <v>0</v>
      </c>
      <c r="J164" s="20">
        <v>0</v>
      </c>
      <c r="K164" s="20"/>
      <c r="L164" s="20">
        <f t="shared" si="29"/>
        <v>0</v>
      </c>
      <c r="M164" s="24">
        <f t="shared" si="28"/>
        <v>0</v>
      </c>
      <c r="N164" s="21">
        <v>0</v>
      </c>
      <c r="O164" s="240">
        <f t="shared" si="30"/>
        <v>0</v>
      </c>
    </row>
    <row r="165" spans="1:15" ht="14.25" customHeight="1" hidden="1">
      <c r="A165" s="30"/>
      <c r="B165" s="31" t="s">
        <v>297</v>
      </c>
      <c r="C165" s="29" t="s">
        <v>385</v>
      </c>
      <c r="D165" s="20"/>
      <c r="E165" s="20"/>
      <c r="F165" s="20"/>
      <c r="G165" s="20"/>
      <c r="H165" s="20">
        <v>0</v>
      </c>
      <c r="I165" s="20">
        <v>0</v>
      </c>
      <c r="J165" s="20">
        <v>0</v>
      </c>
      <c r="K165" s="20"/>
      <c r="L165" s="20">
        <f t="shared" si="29"/>
        <v>0</v>
      </c>
      <c r="M165" s="24">
        <f t="shared" si="28"/>
        <v>0</v>
      </c>
      <c r="N165" s="21">
        <v>0</v>
      </c>
      <c r="O165" s="240">
        <f t="shared" si="30"/>
        <v>0</v>
      </c>
    </row>
    <row r="166" spans="1:15" ht="15" customHeight="1" hidden="1">
      <c r="A166" s="30"/>
      <c r="B166" s="31" t="s">
        <v>299</v>
      </c>
      <c r="C166" s="29" t="s">
        <v>300</v>
      </c>
      <c r="D166" s="20"/>
      <c r="E166" s="20"/>
      <c r="F166" s="20"/>
      <c r="G166" s="20"/>
      <c r="H166" s="20">
        <v>0</v>
      </c>
      <c r="I166" s="20">
        <v>0</v>
      </c>
      <c r="J166" s="20">
        <v>0</v>
      </c>
      <c r="K166" s="20"/>
      <c r="L166" s="20">
        <f t="shared" si="29"/>
        <v>0</v>
      </c>
      <c r="M166" s="24">
        <f t="shared" si="28"/>
        <v>0</v>
      </c>
      <c r="N166" s="21">
        <v>0</v>
      </c>
      <c r="O166" s="240">
        <f t="shared" si="30"/>
        <v>0</v>
      </c>
    </row>
    <row r="167" spans="1:15" s="286" customFormat="1" ht="28.5" customHeight="1">
      <c r="A167" s="287" t="s">
        <v>358</v>
      </c>
      <c r="B167" s="291"/>
      <c r="C167" s="293" t="s">
        <v>359</v>
      </c>
      <c r="D167" s="288" t="e">
        <f aca="true" t="shared" si="33" ref="D167:J167">D168+D188</f>
        <v>#REF!</v>
      </c>
      <c r="E167" s="288" t="e">
        <f t="shared" si="33"/>
        <v>#REF!</v>
      </c>
      <c r="F167" s="288" t="e">
        <f t="shared" si="33"/>
        <v>#REF!</v>
      </c>
      <c r="G167" s="288" t="e">
        <f t="shared" si="33"/>
        <v>#REF!</v>
      </c>
      <c r="H167" s="288" t="e">
        <f t="shared" si="33"/>
        <v>#REF!</v>
      </c>
      <c r="I167" s="288" t="e">
        <f t="shared" si="33"/>
        <v>#REF!</v>
      </c>
      <c r="J167" s="288" t="e">
        <f t="shared" si="33"/>
        <v>#REF!</v>
      </c>
      <c r="K167" s="288">
        <f>+K188+K213</f>
        <v>2310000</v>
      </c>
      <c r="L167" s="288">
        <f>+L188+L213</f>
        <v>2309000</v>
      </c>
      <c r="M167" s="288">
        <f>+M188+M213</f>
        <v>1000</v>
      </c>
      <c r="N167" s="288">
        <f>+N188+N213</f>
        <v>0</v>
      </c>
      <c r="O167" s="285">
        <f t="shared" si="30"/>
        <v>0.0718847707663122</v>
      </c>
    </row>
    <row r="168" spans="1:15" ht="39.75" customHeight="1" hidden="1">
      <c r="A168" s="17" t="s">
        <v>360</v>
      </c>
      <c r="B168" s="27"/>
      <c r="C168" s="4" t="s">
        <v>369</v>
      </c>
      <c r="D168" s="7">
        <f>D170+D172+D173+D174+D175+D176+D177+D178</f>
        <v>4730178</v>
      </c>
      <c r="E168" s="7" t="e">
        <f>#REF!+E169+E170+E172+E173+E174+E175+E176+E177+E178+E179+E180+E182+E183+E184+E185+E186+E187+E171</f>
        <v>#REF!</v>
      </c>
      <c r="F168" s="7" t="e">
        <f>#REF!+F169+F170+F172+F173+F174+F175+F176+F177+F178+F179+F180+F182+F183+F184+F185+F186+F187+F171</f>
        <v>#REF!</v>
      </c>
      <c r="G168" s="7" t="e">
        <f>#REF!+G169+G170+G172+G173+G174+G175+G176+G177+G178+G179+G180+G182+G183+G184+G185+G186+G187+G171</f>
        <v>#REF!</v>
      </c>
      <c r="H168" s="7" t="e">
        <f>#REF!+H169+H170+H171+H172+H173+H174+H175+H176+H177+H178+H179+H180+H182+H183+H184+H185+H186+H187+H181</f>
        <v>#REF!</v>
      </c>
      <c r="I168" s="7" t="e">
        <f>#REF!+I169+I170+I171+I172+I173+I174+I175+I176+I177+I178+I179+I180+I182+I183+I184+I185+I186+I187+I181</f>
        <v>#REF!</v>
      </c>
      <c r="J168" s="7" t="e">
        <f>#REF!+J169+J170+J171+J172+J173+J174+J175+J176+J177+J178+J179+J180+J182+J183+J184+J185+J186+J187+J181</f>
        <v>#REF!</v>
      </c>
      <c r="K168" s="7">
        <f>K169+K170+K171+K172+K173+K174+K175+K176+K177+K178+K179+K180+K182+K183+K184+K185+K186+K187+K181</f>
        <v>0</v>
      </c>
      <c r="L168" s="288"/>
      <c r="M168" s="290"/>
      <c r="N168" s="290" t="e">
        <f>N169+N189+#REF!</f>
        <v>#REF!</v>
      </c>
      <c r="O168" s="285">
        <f t="shared" si="30"/>
        <v>0</v>
      </c>
    </row>
    <row r="169" spans="1:15" ht="43.5" customHeight="1" hidden="1">
      <c r="A169" s="17"/>
      <c r="B169" s="31" t="s">
        <v>279</v>
      </c>
      <c r="C169" s="29" t="s">
        <v>280</v>
      </c>
      <c r="D169" s="20"/>
      <c r="E169" s="20">
        <v>35000</v>
      </c>
      <c r="F169" s="20">
        <v>0</v>
      </c>
      <c r="G169" s="20">
        <v>0</v>
      </c>
      <c r="H169" s="20">
        <v>0</v>
      </c>
      <c r="I169" s="20">
        <v>0</v>
      </c>
      <c r="J169" s="20">
        <v>0</v>
      </c>
      <c r="K169" s="20"/>
      <c r="L169" s="288"/>
      <c r="M169" s="290"/>
      <c r="N169" s="290" t="e">
        <f>N170+N190+N216</f>
        <v>#REF!</v>
      </c>
      <c r="O169" s="285">
        <f t="shared" si="30"/>
        <v>0</v>
      </c>
    </row>
    <row r="170" spans="1:15" ht="57" customHeight="1" hidden="1">
      <c r="A170" s="30"/>
      <c r="B170" s="31" t="s">
        <v>281</v>
      </c>
      <c r="C170" s="29" t="s">
        <v>282</v>
      </c>
      <c r="D170" s="8">
        <v>332400</v>
      </c>
      <c r="E170" s="20">
        <v>350100</v>
      </c>
      <c r="F170" s="20">
        <v>0</v>
      </c>
      <c r="G170" s="20">
        <v>174500</v>
      </c>
      <c r="H170" s="20">
        <v>0</v>
      </c>
      <c r="I170" s="20">
        <v>0</v>
      </c>
      <c r="J170" s="20">
        <v>0</v>
      </c>
      <c r="K170" s="20"/>
      <c r="L170" s="288"/>
      <c r="M170" s="290"/>
      <c r="N170" s="290" t="e">
        <f>N171+N191+N217</f>
        <v>#REF!</v>
      </c>
      <c r="O170" s="285">
        <f t="shared" si="30"/>
        <v>0</v>
      </c>
    </row>
    <row r="171" spans="1:15" ht="42.75" customHeight="1" hidden="1">
      <c r="A171" s="30"/>
      <c r="B171" s="31" t="s">
        <v>283</v>
      </c>
      <c r="C171" s="29" t="s">
        <v>370</v>
      </c>
      <c r="D171" s="8"/>
      <c r="E171" s="20">
        <v>0</v>
      </c>
      <c r="F171" s="20">
        <v>174500</v>
      </c>
      <c r="G171" s="20">
        <v>0</v>
      </c>
      <c r="H171" s="20">
        <v>0</v>
      </c>
      <c r="I171" s="20">
        <v>0</v>
      </c>
      <c r="J171" s="20">
        <v>0</v>
      </c>
      <c r="K171" s="20"/>
      <c r="L171" s="288"/>
      <c r="M171" s="290"/>
      <c r="N171" s="290" t="e">
        <f>N172+N192+N218</f>
        <v>#REF!</v>
      </c>
      <c r="O171" s="285">
        <f t="shared" si="30"/>
        <v>0</v>
      </c>
    </row>
    <row r="172" spans="1:15" ht="45" customHeight="1" hidden="1">
      <c r="A172" s="30"/>
      <c r="B172" s="31" t="s">
        <v>285</v>
      </c>
      <c r="C172" s="29" t="s">
        <v>286</v>
      </c>
      <c r="D172" s="8">
        <v>19900</v>
      </c>
      <c r="E172" s="20">
        <v>22950</v>
      </c>
      <c r="F172" s="20">
        <v>700</v>
      </c>
      <c r="G172" s="20">
        <v>0</v>
      </c>
      <c r="H172" s="20">
        <v>0</v>
      </c>
      <c r="I172" s="20">
        <v>0</v>
      </c>
      <c r="J172" s="20">
        <v>0</v>
      </c>
      <c r="K172" s="20"/>
      <c r="L172" s="288"/>
      <c r="M172" s="290"/>
      <c r="N172" s="290" t="e">
        <f>N173+N193+#REF!</f>
        <v>#REF!</v>
      </c>
      <c r="O172" s="285">
        <f t="shared" si="30"/>
        <v>0</v>
      </c>
    </row>
    <row r="173" spans="1:15" ht="44.25" customHeight="1" hidden="1">
      <c r="A173" s="30"/>
      <c r="B173" s="31" t="s">
        <v>371</v>
      </c>
      <c r="C173" s="29" t="s">
        <v>372</v>
      </c>
      <c r="D173" s="8">
        <v>2944100</v>
      </c>
      <c r="E173" s="20">
        <v>3354273</v>
      </c>
      <c r="F173" s="20">
        <v>0</v>
      </c>
      <c r="G173" s="20">
        <v>150000</v>
      </c>
      <c r="H173" s="20">
        <v>0</v>
      </c>
      <c r="I173" s="20">
        <v>0</v>
      </c>
      <c r="J173" s="20">
        <v>0</v>
      </c>
      <c r="K173" s="20"/>
      <c r="L173" s="288"/>
      <c r="M173" s="290"/>
      <c r="N173" s="290" t="e">
        <f>N174+N194+#REF!</f>
        <v>#REF!</v>
      </c>
      <c r="O173" s="285">
        <f t="shared" si="30"/>
        <v>0</v>
      </c>
    </row>
    <row r="174" spans="1:15" ht="46.5" customHeight="1" hidden="1">
      <c r="A174" s="30"/>
      <c r="B174" s="31" t="s">
        <v>373</v>
      </c>
      <c r="C174" s="29" t="s">
        <v>374</v>
      </c>
      <c r="D174" s="8">
        <v>66700</v>
      </c>
      <c r="E174" s="20">
        <v>85698</v>
      </c>
      <c r="F174" s="20">
        <v>48402</v>
      </c>
      <c r="G174" s="20">
        <v>0</v>
      </c>
      <c r="H174" s="20">
        <v>0</v>
      </c>
      <c r="I174" s="20">
        <v>0</v>
      </c>
      <c r="J174" s="20">
        <v>0</v>
      </c>
      <c r="K174" s="20"/>
      <c r="L174" s="288"/>
      <c r="M174" s="290"/>
      <c r="N174" s="290"/>
      <c r="O174" s="285">
        <f t="shared" si="30"/>
        <v>0</v>
      </c>
    </row>
    <row r="175" spans="1:15" ht="32.25" customHeight="1" hidden="1">
      <c r="A175" s="30"/>
      <c r="B175" s="31" t="s">
        <v>375</v>
      </c>
      <c r="C175" s="29" t="s">
        <v>376</v>
      </c>
      <c r="D175" s="8">
        <v>202700</v>
      </c>
      <c r="E175" s="20">
        <v>233700</v>
      </c>
      <c r="F175" s="20">
        <v>2300</v>
      </c>
      <c r="G175" s="20">
        <v>0</v>
      </c>
      <c r="H175" s="20">
        <v>0</v>
      </c>
      <c r="I175" s="20">
        <v>0</v>
      </c>
      <c r="J175" s="20">
        <v>0</v>
      </c>
      <c r="K175" s="20"/>
      <c r="L175" s="288"/>
      <c r="M175" s="290"/>
      <c r="N175" s="290">
        <f>N176+N195+N219</f>
        <v>0</v>
      </c>
      <c r="O175" s="285">
        <f t="shared" si="30"/>
        <v>0</v>
      </c>
    </row>
    <row r="176" spans="1:15" ht="30" customHeight="1" hidden="1">
      <c r="A176" s="30"/>
      <c r="B176" s="31" t="s">
        <v>377</v>
      </c>
      <c r="C176" s="29" t="s">
        <v>378</v>
      </c>
      <c r="D176" s="8">
        <v>18700</v>
      </c>
      <c r="E176" s="20">
        <v>16600</v>
      </c>
      <c r="F176" s="20">
        <v>21600</v>
      </c>
      <c r="G176" s="20">
        <v>0</v>
      </c>
      <c r="H176" s="20">
        <v>0</v>
      </c>
      <c r="I176" s="20">
        <v>0</v>
      </c>
      <c r="J176" s="20">
        <v>0</v>
      </c>
      <c r="K176" s="20"/>
      <c r="L176" s="288"/>
      <c r="M176" s="290"/>
      <c r="N176" s="290">
        <f>N177+N196+N221</f>
        <v>0</v>
      </c>
      <c r="O176" s="285">
        <f t="shared" si="30"/>
        <v>0</v>
      </c>
    </row>
    <row r="177" spans="1:15" ht="27" customHeight="1" hidden="1">
      <c r="A177" s="30"/>
      <c r="B177" s="32" t="s">
        <v>338</v>
      </c>
      <c r="C177" s="29" t="s">
        <v>315</v>
      </c>
      <c r="D177" s="8">
        <v>69700</v>
      </c>
      <c r="E177" s="20">
        <v>65638</v>
      </c>
      <c r="F177" s="20">
        <v>19500</v>
      </c>
      <c r="G177" s="20">
        <v>0</v>
      </c>
      <c r="H177" s="20">
        <v>0</v>
      </c>
      <c r="I177" s="20">
        <v>0</v>
      </c>
      <c r="J177" s="20">
        <v>0</v>
      </c>
      <c r="K177" s="20"/>
      <c r="L177" s="288"/>
      <c r="M177" s="290"/>
      <c r="N177" s="290">
        <f>N178+N197+N222</f>
        <v>0</v>
      </c>
      <c r="O177" s="285">
        <f t="shared" si="30"/>
        <v>0</v>
      </c>
    </row>
    <row r="178" spans="1:15" ht="29.25" customHeight="1" hidden="1">
      <c r="A178" s="30"/>
      <c r="B178" s="31" t="s">
        <v>289</v>
      </c>
      <c r="C178" s="29" t="s">
        <v>290</v>
      </c>
      <c r="D178" s="8">
        <v>1075978</v>
      </c>
      <c r="E178" s="20">
        <v>8871</v>
      </c>
      <c r="F178" s="20">
        <v>4600</v>
      </c>
      <c r="G178" s="20">
        <v>0</v>
      </c>
      <c r="H178" s="20">
        <v>0</v>
      </c>
      <c r="I178" s="20">
        <v>0</v>
      </c>
      <c r="J178" s="20">
        <v>0</v>
      </c>
      <c r="K178" s="20"/>
      <c r="L178" s="288"/>
      <c r="M178" s="290"/>
      <c r="N178" s="290"/>
      <c r="O178" s="285">
        <f t="shared" si="30"/>
        <v>0</v>
      </c>
    </row>
    <row r="179" spans="1:15" ht="30" customHeight="1" hidden="1">
      <c r="A179" s="30"/>
      <c r="B179" s="31" t="s">
        <v>291</v>
      </c>
      <c r="C179" s="29" t="s">
        <v>292</v>
      </c>
      <c r="D179" s="8"/>
      <c r="E179" s="20">
        <v>267050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/>
      <c r="L179" s="288"/>
      <c r="M179" s="290"/>
      <c r="N179" s="290"/>
      <c r="O179" s="285">
        <f t="shared" si="30"/>
        <v>0</v>
      </c>
    </row>
    <row r="180" spans="1:15" ht="35.25" customHeight="1" hidden="1">
      <c r="A180" s="30"/>
      <c r="B180" s="31" t="s">
        <v>379</v>
      </c>
      <c r="C180" s="29" t="s">
        <v>380</v>
      </c>
      <c r="D180" s="8"/>
      <c r="E180" s="20">
        <v>6000</v>
      </c>
      <c r="F180" s="20">
        <v>0</v>
      </c>
      <c r="G180" s="20">
        <v>0</v>
      </c>
      <c r="H180" s="20">
        <v>0</v>
      </c>
      <c r="I180" s="20">
        <v>0</v>
      </c>
      <c r="J180" s="20">
        <v>0</v>
      </c>
      <c r="K180" s="20"/>
      <c r="L180" s="288"/>
      <c r="M180" s="290"/>
      <c r="N180" s="290"/>
      <c r="O180" s="285">
        <f t="shared" si="30"/>
        <v>0</v>
      </c>
    </row>
    <row r="181" spans="1:15" ht="24.75" customHeight="1" hidden="1">
      <c r="A181" s="30"/>
      <c r="B181" s="31" t="s">
        <v>381</v>
      </c>
      <c r="C181" s="29" t="s">
        <v>382</v>
      </c>
      <c r="D181" s="8"/>
      <c r="E181" s="20"/>
      <c r="F181" s="20"/>
      <c r="G181" s="20"/>
      <c r="H181" s="20">
        <v>0</v>
      </c>
      <c r="I181" s="20">
        <v>0</v>
      </c>
      <c r="J181" s="20">
        <v>0</v>
      </c>
      <c r="K181" s="20"/>
      <c r="L181" s="288"/>
      <c r="M181" s="290"/>
      <c r="N181" s="290"/>
      <c r="O181" s="285">
        <f t="shared" si="30"/>
        <v>0</v>
      </c>
    </row>
    <row r="182" spans="1:15" ht="27.75" customHeight="1" hidden="1">
      <c r="A182" s="30"/>
      <c r="B182" s="31" t="s">
        <v>293</v>
      </c>
      <c r="C182" s="29" t="s">
        <v>383</v>
      </c>
      <c r="D182" s="8"/>
      <c r="E182" s="20">
        <v>68300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/>
      <c r="L182" s="288"/>
      <c r="M182" s="290"/>
      <c r="N182" s="290"/>
      <c r="O182" s="285">
        <f t="shared" si="30"/>
        <v>0</v>
      </c>
    </row>
    <row r="183" spans="1:15" ht="23.25" customHeight="1" hidden="1">
      <c r="A183" s="30"/>
      <c r="B183" s="31" t="s">
        <v>295</v>
      </c>
      <c r="C183" s="29" t="s">
        <v>384</v>
      </c>
      <c r="D183" s="8"/>
      <c r="E183" s="20">
        <v>15000</v>
      </c>
      <c r="F183" s="20">
        <v>0</v>
      </c>
      <c r="G183" s="20">
        <v>0</v>
      </c>
      <c r="H183" s="20">
        <v>0</v>
      </c>
      <c r="I183" s="20">
        <v>0</v>
      </c>
      <c r="J183" s="20">
        <v>0</v>
      </c>
      <c r="K183" s="20"/>
      <c r="L183" s="271"/>
      <c r="M183" s="273"/>
      <c r="N183" s="290" t="e">
        <f>N184+N203+N228</f>
        <v>#REF!</v>
      </c>
      <c r="O183" s="285">
        <f t="shared" si="30"/>
        <v>0</v>
      </c>
    </row>
    <row r="184" spans="1:15" ht="31.5" customHeight="1" hidden="1">
      <c r="A184" s="30"/>
      <c r="B184" s="31" t="s">
        <v>297</v>
      </c>
      <c r="C184" s="29" t="s">
        <v>385</v>
      </c>
      <c r="D184" s="8"/>
      <c r="E184" s="20">
        <v>62300</v>
      </c>
      <c r="F184" s="20">
        <v>5000</v>
      </c>
      <c r="G184" s="20">
        <v>0</v>
      </c>
      <c r="H184" s="20">
        <v>0</v>
      </c>
      <c r="I184" s="20">
        <v>0</v>
      </c>
      <c r="J184" s="20">
        <v>0</v>
      </c>
      <c r="K184" s="20"/>
      <c r="L184" s="271"/>
      <c r="M184" s="273"/>
      <c r="N184" s="290" t="e">
        <f>N185+N204+N229</f>
        <v>#REF!</v>
      </c>
      <c r="O184" s="285">
        <f t="shared" si="30"/>
        <v>0</v>
      </c>
    </row>
    <row r="185" spans="1:15" ht="37.5" customHeight="1" hidden="1">
      <c r="A185" s="30"/>
      <c r="B185" s="31" t="s">
        <v>299</v>
      </c>
      <c r="C185" s="29" t="s">
        <v>300</v>
      </c>
      <c r="D185" s="8"/>
      <c r="E185" s="20">
        <v>38100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/>
      <c r="L185" s="271"/>
      <c r="M185" s="273"/>
      <c r="N185" s="290" t="e">
        <f>N186+N205+N230</f>
        <v>#REF!</v>
      </c>
      <c r="O185" s="285">
        <f t="shared" si="30"/>
        <v>0</v>
      </c>
    </row>
    <row r="186" spans="1:15" ht="31.5" customHeight="1" hidden="1">
      <c r="A186" s="30"/>
      <c r="B186" s="31" t="s">
        <v>303</v>
      </c>
      <c r="C186" s="29" t="s">
        <v>304</v>
      </c>
      <c r="D186" s="8"/>
      <c r="E186" s="20">
        <v>13200</v>
      </c>
      <c r="F186" s="20">
        <v>0</v>
      </c>
      <c r="G186" s="20">
        <v>0</v>
      </c>
      <c r="H186" s="20">
        <v>0</v>
      </c>
      <c r="I186" s="20">
        <v>0</v>
      </c>
      <c r="J186" s="20">
        <v>0</v>
      </c>
      <c r="K186" s="20"/>
      <c r="L186" s="271"/>
      <c r="M186" s="273"/>
      <c r="N186" s="290" t="e">
        <f>N187+N206+N231</f>
        <v>#REF!</v>
      </c>
      <c r="O186" s="285">
        <f t="shared" si="30"/>
        <v>0</v>
      </c>
    </row>
    <row r="187" spans="1:15" ht="48" customHeight="1" hidden="1">
      <c r="A187" s="30"/>
      <c r="B187" s="31" t="s">
        <v>323</v>
      </c>
      <c r="C187" s="29" t="s">
        <v>174</v>
      </c>
      <c r="D187" s="8">
        <v>6030</v>
      </c>
      <c r="E187" s="20">
        <v>17500</v>
      </c>
      <c r="F187" s="20">
        <v>0</v>
      </c>
      <c r="G187" s="20">
        <v>5000</v>
      </c>
      <c r="H187" s="20">
        <v>3000</v>
      </c>
      <c r="I187" s="20">
        <v>0</v>
      </c>
      <c r="J187" s="20">
        <v>0</v>
      </c>
      <c r="K187" s="20">
        <v>0</v>
      </c>
      <c r="L187" s="271"/>
      <c r="M187" s="273"/>
      <c r="N187" s="290" t="e">
        <f>#REF!+N207+N232</f>
        <v>#REF!</v>
      </c>
      <c r="O187" s="285">
        <f t="shared" si="30"/>
        <v>0</v>
      </c>
    </row>
    <row r="188" spans="1:15" ht="26.25" customHeight="1">
      <c r="A188" s="17" t="s">
        <v>386</v>
      </c>
      <c r="B188" s="27"/>
      <c r="C188" s="4" t="s">
        <v>387</v>
      </c>
      <c r="D188" s="7" t="e">
        <f>D190+D191+D192+D193+D194+#REF!+D195+D196</f>
        <v>#REF!</v>
      </c>
      <c r="E188" s="7" t="e">
        <f>E190+E191+E192+E193+E194+#REF!+E195+E196+E197+E199+E201+E202+E203+E205+E206+E207+E208+E209+E211+#REF!+E210</f>
        <v>#REF!</v>
      </c>
      <c r="F188" s="7" t="e">
        <f>F190+F191+F192+F193+F194+#REF!+F195+F196+F197+F199+F202+F203+F205+F206+F208+F209+F211+#REF!+F210</f>
        <v>#REF!</v>
      </c>
      <c r="G188" s="7" t="e">
        <f>G190+G191+G192+G193+G194+#REF!+G195+G196+G197+G199+G202+G203+G205+G206+G208+G209+G211+#REF!+G210</f>
        <v>#REF!</v>
      </c>
      <c r="H188" s="7" t="e">
        <f>H190+H191+H192+H193+H194+#REF!+H195+H196+H197+H199+H201+H202+H203+H205+H206+H207+H209+H210+H211+H200</f>
        <v>#REF!</v>
      </c>
      <c r="I188" s="7" t="e">
        <f>I190+I191+I192+I193+I194+#REF!+I195+I196+I197+I199+I201+I202+I203+I205+I206+I207+I209+I210+I211+I200</f>
        <v>#REF!</v>
      </c>
      <c r="J188" s="7" t="e">
        <f>J190+J191+J192+J193+J194+#REF!+J195+J196+J197+J199+J201+J202+J203+J205+J206+J207+J209+J210+J211+J200</f>
        <v>#REF!</v>
      </c>
      <c r="K188" s="7">
        <f>K190+K191+K192+K193+K194+K195+K196+K197+K189+K198+K199+K201+K202+K203+K205+K206+K207+K209+K210+K211+K200+K212+K204</f>
        <v>2307000</v>
      </c>
      <c r="L188" s="7">
        <f>L190+L191+L192+L193+L194+L195+L196+L197+L189+L198+L199+L201+L202+L203+L205+L206+L207+L209+L210+L211+L200+L212+L204</f>
        <v>2306000</v>
      </c>
      <c r="M188" s="7">
        <f>M190+M191+M192+M193+M194+M195+M196+M197+M189+M198+M199+M201+M202+M203+M205+M206+M207+M209+M210+M211+M200+M212+M204</f>
        <v>1000</v>
      </c>
      <c r="N188" s="7">
        <f>N190+N191+N192+N193+N194+N195+N196+N197+N189+N198+N199+N201+N202+N203+N205+N206+N207+N209+N210+N211+N200+N212+N204</f>
        <v>0</v>
      </c>
      <c r="O188" s="240">
        <f t="shared" si="30"/>
        <v>0.07179141392116115</v>
      </c>
    </row>
    <row r="189" spans="1:15" ht="15.75" customHeight="1">
      <c r="A189" s="30"/>
      <c r="B189" s="31" t="s">
        <v>734</v>
      </c>
      <c r="C189" s="29" t="s">
        <v>735</v>
      </c>
      <c r="D189" s="8"/>
      <c r="E189" s="20"/>
      <c r="F189" s="20"/>
      <c r="G189" s="20"/>
      <c r="H189" s="20"/>
      <c r="I189" s="20"/>
      <c r="J189" s="20"/>
      <c r="K189" s="8">
        <v>149000</v>
      </c>
      <c r="L189" s="20">
        <f>K189</f>
        <v>149000</v>
      </c>
      <c r="M189" s="24">
        <v>0</v>
      </c>
      <c r="N189" s="24">
        <v>0</v>
      </c>
      <c r="O189" s="240">
        <f aca="true" t="shared" si="34" ref="O189:O221">K189/$K$616</f>
        <v>0.004636723309169055</v>
      </c>
    </row>
    <row r="190" spans="1:15" ht="15.75" customHeight="1">
      <c r="A190" s="30"/>
      <c r="B190" s="31" t="s">
        <v>283</v>
      </c>
      <c r="C190" s="29" t="s">
        <v>748</v>
      </c>
      <c r="D190" s="8">
        <v>15218</v>
      </c>
      <c r="E190" s="20">
        <v>14500</v>
      </c>
      <c r="F190" s="20">
        <v>1000</v>
      </c>
      <c r="G190" s="20">
        <v>0</v>
      </c>
      <c r="H190" s="20">
        <v>17000</v>
      </c>
      <c r="I190" s="20">
        <v>0</v>
      </c>
      <c r="J190" s="20">
        <v>0</v>
      </c>
      <c r="K190" s="8">
        <v>19000</v>
      </c>
      <c r="L190" s="20">
        <f>K190</f>
        <v>19000</v>
      </c>
      <c r="M190" s="24">
        <v>0</v>
      </c>
      <c r="N190" s="24">
        <v>0</v>
      </c>
      <c r="O190" s="240">
        <f t="shared" si="34"/>
        <v>0.0005912600192900137</v>
      </c>
    </row>
    <row r="191" spans="1:15" ht="15.75" customHeight="1">
      <c r="A191" s="30"/>
      <c r="B191" s="31" t="s">
        <v>285</v>
      </c>
      <c r="C191" s="29" t="s">
        <v>286</v>
      </c>
      <c r="D191" s="8">
        <v>782</v>
      </c>
      <c r="E191" s="20">
        <v>1200</v>
      </c>
      <c r="F191" s="20">
        <v>0</v>
      </c>
      <c r="G191" s="20">
        <v>14</v>
      </c>
      <c r="H191" s="20">
        <v>1415</v>
      </c>
      <c r="I191" s="20">
        <v>0</v>
      </c>
      <c r="J191" s="20">
        <v>0</v>
      </c>
      <c r="K191" s="8">
        <v>2000</v>
      </c>
      <c r="L191" s="20">
        <f aca="true" t="shared" si="35" ref="L191:L215">K191</f>
        <v>2000</v>
      </c>
      <c r="M191" s="24">
        <v>0</v>
      </c>
      <c r="N191" s="24">
        <v>0</v>
      </c>
      <c r="O191" s="240">
        <f t="shared" si="34"/>
        <v>6.223789676736987E-05</v>
      </c>
    </row>
    <row r="192" spans="1:15" ht="24" customHeight="1">
      <c r="A192" s="30"/>
      <c r="B192" s="31" t="s">
        <v>371</v>
      </c>
      <c r="C192" s="29" t="s">
        <v>372</v>
      </c>
      <c r="D192" s="8">
        <v>1635532</v>
      </c>
      <c r="E192" s="20">
        <v>1917450</v>
      </c>
      <c r="F192" s="20">
        <v>0</v>
      </c>
      <c r="G192" s="20">
        <v>0</v>
      </c>
      <c r="H192" s="20">
        <v>1149573</v>
      </c>
      <c r="I192" s="20">
        <v>0</v>
      </c>
      <c r="J192" s="20">
        <v>0</v>
      </c>
      <c r="K192" s="8">
        <v>1438000</v>
      </c>
      <c r="L192" s="20">
        <f t="shared" si="35"/>
        <v>1438000</v>
      </c>
      <c r="M192" s="24">
        <v>0</v>
      </c>
      <c r="N192" s="24">
        <v>0</v>
      </c>
      <c r="O192" s="240">
        <f t="shared" si="34"/>
        <v>0.04474904777573893</v>
      </c>
    </row>
    <row r="193" spans="1:15" ht="15" customHeight="1">
      <c r="A193" s="30"/>
      <c r="B193" s="31" t="s">
        <v>373</v>
      </c>
      <c r="C193" s="29" t="s">
        <v>374</v>
      </c>
      <c r="D193" s="8">
        <v>15859</v>
      </c>
      <c r="E193" s="20">
        <v>46700</v>
      </c>
      <c r="F193" s="20">
        <v>0</v>
      </c>
      <c r="G193" s="20">
        <v>0</v>
      </c>
      <c r="H193" s="20">
        <v>5200</v>
      </c>
      <c r="I193" s="20">
        <v>0</v>
      </c>
      <c r="J193" s="20">
        <v>0</v>
      </c>
      <c r="K193" s="8">
        <v>148000</v>
      </c>
      <c r="L193" s="20">
        <f t="shared" si="35"/>
        <v>148000</v>
      </c>
      <c r="M193" s="24">
        <v>0</v>
      </c>
      <c r="N193" s="24">
        <v>0</v>
      </c>
      <c r="O193" s="240">
        <f t="shared" si="34"/>
        <v>0.0046056043607853705</v>
      </c>
    </row>
    <row r="194" spans="1:15" ht="15.75" customHeight="1">
      <c r="A194" s="30"/>
      <c r="B194" s="31" t="s">
        <v>375</v>
      </c>
      <c r="C194" s="29" t="s">
        <v>376</v>
      </c>
      <c r="D194" s="8">
        <v>96233</v>
      </c>
      <c r="E194" s="20">
        <v>146640</v>
      </c>
      <c r="F194" s="20">
        <v>0</v>
      </c>
      <c r="G194" s="20">
        <v>15640</v>
      </c>
      <c r="H194" s="20">
        <v>86500</v>
      </c>
      <c r="I194" s="20">
        <v>0</v>
      </c>
      <c r="J194" s="20">
        <v>0</v>
      </c>
      <c r="K194" s="8">
        <v>121000</v>
      </c>
      <c r="L194" s="20">
        <f t="shared" si="35"/>
        <v>121000</v>
      </c>
      <c r="M194" s="24">
        <v>0</v>
      </c>
      <c r="N194" s="24">
        <v>0</v>
      </c>
      <c r="O194" s="240">
        <f t="shared" si="34"/>
        <v>0.003765392754425877</v>
      </c>
    </row>
    <row r="195" spans="1:15" ht="18" customHeight="1">
      <c r="A195" s="30"/>
      <c r="B195" s="32" t="s">
        <v>338</v>
      </c>
      <c r="C195" s="29" t="s">
        <v>355</v>
      </c>
      <c r="D195" s="8">
        <v>39438</v>
      </c>
      <c r="E195" s="20">
        <v>71560</v>
      </c>
      <c r="F195" s="20">
        <v>0</v>
      </c>
      <c r="G195" s="20">
        <v>26000</v>
      </c>
      <c r="H195" s="20">
        <v>38000</v>
      </c>
      <c r="I195" s="20">
        <v>0</v>
      </c>
      <c r="J195" s="20">
        <v>0</v>
      </c>
      <c r="K195" s="8">
        <v>3500</v>
      </c>
      <c r="L195" s="20">
        <f t="shared" si="35"/>
        <v>3500</v>
      </c>
      <c r="M195" s="24">
        <v>0</v>
      </c>
      <c r="N195" s="24">
        <v>0</v>
      </c>
      <c r="O195" s="240">
        <f t="shared" si="34"/>
        <v>0.00010891631934289727</v>
      </c>
    </row>
    <row r="196" spans="1:15" ht="15.75" customHeight="1">
      <c r="A196" s="30"/>
      <c r="B196" s="31" t="s">
        <v>289</v>
      </c>
      <c r="C196" s="29" t="s">
        <v>290</v>
      </c>
      <c r="D196" s="8">
        <v>843962</v>
      </c>
      <c r="E196" s="20">
        <v>12030</v>
      </c>
      <c r="F196" s="20">
        <v>0</v>
      </c>
      <c r="G196" s="20">
        <v>5000</v>
      </c>
      <c r="H196" s="20">
        <v>5410</v>
      </c>
      <c r="I196" s="20">
        <v>0</v>
      </c>
      <c r="J196" s="20">
        <v>0</v>
      </c>
      <c r="K196" s="8">
        <v>500</v>
      </c>
      <c r="L196" s="20">
        <f t="shared" si="35"/>
        <v>500</v>
      </c>
      <c r="M196" s="24">
        <v>0</v>
      </c>
      <c r="N196" s="24">
        <v>0</v>
      </c>
      <c r="O196" s="240">
        <f t="shared" si="34"/>
        <v>1.5559474191842467E-05</v>
      </c>
    </row>
    <row r="197" spans="1:15" ht="15.75" customHeight="1">
      <c r="A197" s="30"/>
      <c r="B197" s="31" t="s">
        <v>37</v>
      </c>
      <c r="C197" s="29" t="s">
        <v>52</v>
      </c>
      <c r="D197" s="8"/>
      <c r="E197" s="20">
        <v>265000</v>
      </c>
      <c r="F197" s="20">
        <v>25000</v>
      </c>
      <c r="G197" s="20">
        <v>0</v>
      </c>
      <c r="H197" s="20">
        <v>219000</v>
      </c>
      <c r="I197" s="20">
        <v>0</v>
      </c>
      <c r="J197" s="20">
        <v>0</v>
      </c>
      <c r="K197" s="8">
        <v>0</v>
      </c>
      <c r="L197" s="20">
        <f t="shared" si="35"/>
        <v>0</v>
      </c>
      <c r="M197" s="24">
        <v>0</v>
      </c>
      <c r="N197" s="24">
        <v>0</v>
      </c>
      <c r="O197" s="240">
        <f t="shared" si="34"/>
        <v>0</v>
      </c>
    </row>
    <row r="198" spans="1:15" ht="15.75" customHeight="1">
      <c r="A198" s="30"/>
      <c r="B198" s="31" t="s">
        <v>736</v>
      </c>
      <c r="C198" s="29" t="s">
        <v>737</v>
      </c>
      <c r="D198" s="8"/>
      <c r="E198" s="20"/>
      <c r="F198" s="20"/>
      <c r="G198" s="20"/>
      <c r="H198" s="20"/>
      <c r="I198" s="20"/>
      <c r="J198" s="20"/>
      <c r="K198" s="8">
        <v>93000</v>
      </c>
      <c r="L198" s="20">
        <f>K198</f>
        <v>93000</v>
      </c>
      <c r="M198" s="24">
        <v>0</v>
      </c>
      <c r="N198" s="24">
        <v>0</v>
      </c>
      <c r="O198" s="240">
        <f t="shared" si="34"/>
        <v>0.002894062199682699</v>
      </c>
    </row>
    <row r="199" spans="1:15" ht="15.75" customHeight="1">
      <c r="A199" s="30"/>
      <c r="B199" s="31" t="s">
        <v>291</v>
      </c>
      <c r="C199" s="29" t="s">
        <v>292</v>
      </c>
      <c r="D199" s="8"/>
      <c r="E199" s="20">
        <v>296300</v>
      </c>
      <c r="F199" s="20">
        <v>62410</v>
      </c>
      <c r="G199" s="20">
        <v>0</v>
      </c>
      <c r="H199" s="20">
        <v>173952</v>
      </c>
      <c r="I199" s="20">
        <v>0</v>
      </c>
      <c r="J199" s="20">
        <v>0</v>
      </c>
      <c r="K199" s="8">
        <v>196820</v>
      </c>
      <c r="L199" s="20">
        <v>195820</v>
      </c>
      <c r="M199" s="24">
        <v>1000</v>
      </c>
      <c r="N199" s="24">
        <v>0</v>
      </c>
      <c r="O199" s="240">
        <f t="shared" si="34"/>
        <v>0.006124831420876869</v>
      </c>
    </row>
    <row r="200" spans="1:15" ht="15.75" customHeight="1">
      <c r="A200" s="30"/>
      <c r="B200" s="31" t="s">
        <v>379</v>
      </c>
      <c r="C200" s="29" t="s">
        <v>380</v>
      </c>
      <c r="D200" s="8"/>
      <c r="E200" s="20"/>
      <c r="F200" s="20"/>
      <c r="G200" s="20"/>
      <c r="H200" s="20">
        <v>2000</v>
      </c>
      <c r="I200" s="20">
        <v>0</v>
      </c>
      <c r="J200" s="20">
        <v>0</v>
      </c>
      <c r="K200" s="8">
        <v>0</v>
      </c>
      <c r="L200" s="20">
        <f t="shared" si="35"/>
        <v>0</v>
      </c>
      <c r="M200" s="24">
        <v>0</v>
      </c>
      <c r="N200" s="24">
        <v>0</v>
      </c>
      <c r="O200" s="240">
        <f t="shared" si="34"/>
        <v>0</v>
      </c>
    </row>
    <row r="201" spans="1:15" ht="16.5" customHeight="1">
      <c r="A201" s="30"/>
      <c r="B201" s="31" t="s">
        <v>381</v>
      </c>
      <c r="C201" s="29" t="s">
        <v>382</v>
      </c>
      <c r="D201" s="8"/>
      <c r="E201" s="20">
        <v>0</v>
      </c>
      <c r="F201" s="20"/>
      <c r="G201" s="20"/>
      <c r="H201" s="20">
        <v>88000</v>
      </c>
      <c r="I201" s="20">
        <v>0</v>
      </c>
      <c r="J201" s="20">
        <v>0</v>
      </c>
      <c r="K201" s="8">
        <v>20000</v>
      </c>
      <c r="L201" s="20">
        <f t="shared" si="35"/>
        <v>20000</v>
      </c>
      <c r="M201" s="24">
        <v>0</v>
      </c>
      <c r="N201" s="24">
        <v>0</v>
      </c>
      <c r="O201" s="240">
        <f t="shared" si="34"/>
        <v>0.0006223789676736987</v>
      </c>
    </row>
    <row r="202" spans="1:15" ht="15.75" customHeight="1">
      <c r="A202" s="30"/>
      <c r="B202" s="31" t="s">
        <v>293</v>
      </c>
      <c r="C202" s="29" t="s">
        <v>383</v>
      </c>
      <c r="D202" s="8"/>
      <c r="E202" s="20">
        <v>25000</v>
      </c>
      <c r="F202" s="20">
        <v>0</v>
      </c>
      <c r="G202" s="20">
        <v>5100</v>
      </c>
      <c r="H202" s="20">
        <v>17000</v>
      </c>
      <c r="I202" s="20">
        <v>0</v>
      </c>
      <c r="J202" s="20">
        <v>0</v>
      </c>
      <c r="K202" s="8">
        <v>18000</v>
      </c>
      <c r="L202" s="20">
        <f t="shared" si="35"/>
        <v>18000</v>
      </c>
      <c r="M202" s="24">
        <v>0</v>
      </c>
      <c r="N202" s="24">
        <v>0</v>
      </c>
      <c r="O202" s="240">
        <f t="shared" si="34"/>
        <v>0.0005601410709063288</v>
      </c>
    </row>
    <row r="203" spans="1:15" ht="17.25" customHeight="1">
      <c r="A203" s="30"/>
      <c r="B203" s="31" t="s">
        <v>295</v>
      </c>
      <c r="C203" s="29" t="s">
        <v>384</v>
      </c>
      <c r="D203" s="8"/>
      <c r="E203" s="20">
        <v>10000</v>
      </c>
      <c r="F203" s="20">
        <v>5000</v>
      </c>
      <c r="G203" s="20">
        <v>0</v>
      </c>
      <c r="H203" s="20">
        <v>43545</v>
      </c>
      <c r="I203" s="20">
        <v>0</v>
      </c>
      <c r="J203" s="20">
        <v>0</v>
      </c>
      <c r="K203" s="8">
        <v>12000</v>
      </c>
      <c r="L203" s="20">
        <f t="shared" si="35"/>
        <v>12000</v>
      </c>
      <c r="M203" s="24">
        <v>0</v>
      </c>
      <c r="N203" s="24">
        <v>0</v>
      </c>
      <c r="O203" s="240">
        <f t="shared" si="34"/>
        <v>0.0003734273806042192</v>
      </c>
    </row>
    <row r="204" spans="1:15" ht="17.25" customHeight="1">
      <c r="A204" s="30"/>
      <c r="B204" s="31" t="s">
        <v>362</v>
      </c>
      <c r="C204" s="29" t="s">
        <v>363</v>
      </c>
      <c r="D204" s="8"/>
      <c r="E204" s="20"/>
      <c r="F204" s="20"/>
      <c r="G204" s="20"/>
      <c r="H204" s="20"/>
      <c r="I204" s="20"/>
      <c r="J204" s="20"/>
      <c r="K204" s="8">
        <v>14520</v>
      </c>
      <c r="L204" s="20">
        <f t="shared" si="35"/>
        <v>14520</v>
      </c>
      <c r="M204" s="24">
        <v>0</v>
      </c>
      <c r="N204" s="24">
        <v>0</v>
      </c>
      <c r="O204" s="240">
        <f t="shared" si="34"/>
        <v>0.00045184713053110525</v>
      </c>
    </row>
    <row r="205" spans="1:15" ht="17.25" customHeight="1">
      <c r="A205" s="30"/>
      <c r="B205" s="31" t="s">
        <v>297</v>
      </c>
      <c r="C205" s="29" t="s">
        <v>385</v>
      </c>
      <c r="D205" s="8"/>
      <c r="E205" s="20">
        <v>58800</v>
      </c>
      <c r="F205" s="20">
        <v>10000</v>
      </c>
      <c r="G205" s="20">
        <v>0</v>
      </c>
      <c r="H205" s="20">
        <v>56000</v>
      </c>
      <c r="I205" s="20">
        <v>0</v>
      </c>
      <c r="J205" s="20">
        <v>0</v>
      </c>
      <c r="K205" s="8">
        <v>45000</v>
      </c>
      <c r="L205" s="20">
        <f t="shared" si="35"/>
        <v>45000</v>
      </c>
      <c r="M205" s="24">
        <v>0</v>
      </c>
      <c r="N205" s="24">
        <v>0</v>
      </c>
      <c r="O205" s="240">
        <f t="shared" si="34"/>
        <v>0.0014003526772658219</v>
      </c>
    </row>
    <row r="206" spans="1:15" ht="14.25" customHeight="1">
      <c r="A206" s="30"/>
      <c r="B206" s="31" t="s">
        <v>299</v>
      </c>
      <c r="C206" s="29" t="s">
        <v>300</v>
      </c>
      <c r="D206" s="8"/>
      <c r="E206" s="20">
        <v>25000</v>
      </c>
      <c r="F206" s="20">
        <v>0</v>
      </c>
      <c r="G206" s="20">
        <v>17000</v>
      </c>
      <c r="H206" s="20">
        <v>8000</v>
      </c>
      <c r="I206" s="20">
        <v>0</v>
      </c>
      <c r="J206" s="20">
        <v>0</v>
      </c>
      <c r="K206" s="8">
        <v>7000</v>
      </c>
      <c r="L206" s="20">
        <f t="shared" si="35"/>
        <v>7000</v>
      </c>
      <c r="M206" s="24">
        <v>0</v>
      </c>
      <c r="N206" s="24">
        <v>0</v>
      </c>
      <c r="O206" s="240">
        <f t="shared" si="34"/>
        <v>0.00021783263868579454</v>
      </c>
    </row>
    <row r="207" spans="1:15" ht="15.75" customHeight="1">
      <c r="A207" s="30"/>
      <c r="B207" s="31" t="s">
        <v>301</v>
      </c>
      <c r="C207" s="29" t="s">
        <v>302</v>
      </c>
      <c r="D207" s="8"/>
      <c r="E207" s="20">
        <v>0</v>
      </c>
      <c r="F207" s="20"/>
      <c r="G207" s="20"/>
      <c r="H207" s="20">
        <v>7000</v>
      </c>
      <c r="I207" s="20">
        <v>0</v>
      </c>
      <c r="J207" s="20">
        <v>0</v>
      </c>
      <c r="K207" s="8">
        <v>8000</v>
      </c>
      <c r="L207" s="20">
        <f t="shared" si="35"/>
        <v>8000</v>
      </c>
      <c r="M207" s="24">
        <v>0</v>
      </c>
      <c r="N207" s="24">
        <v>0</v>
      </c>
      <c r="O207" s="240">
        <f t="shared" si="34"/>
        <v>0.0002489515870694795</v>
      </c>
    </row>
    <row r="208" spans="1:15" ht="19.5" customHeight="1" hidden="1">
      <c r="A208" s="30"/>
      <c r="B208" s="31" t="s">
        <v>301</v>
      </c>
      <c r="C208" s="29" t="s">
        <v>388</v>
      </c>
      <c r="D208" s="8"/>
      <c r="E208" s="20">
        <v>12500</v>
      </c>
      <c r="F208" s="20">
        <v>0</v>
      </c>
      <c r="G208" s="20">
        <v>2500</v>
      </c>
      <c r="H208" s="7"/>
      <c r="I208" s="20">
        <v>0</v>
      </c>
      <c r="J208" s="20">
        <v>0</v>
      </c>
      <c r="K208" s="8"/>
      <c r="L208" s="20">
        <f t="shared" si="35"/>
        <v>0</v>
      </c>
      <c r="M208" s="24">
        <v>0</v>
      </c>
      <c r="N208" s="24">
        <v>0</v>
      </c>
      <c r="O208" s="240">
        <f t="shared" si="34"/>
        <v>0</v>
      </c>
    </row>
    <row r="209" spans="1:15" ht="18" customHeight="1">
      <c r="A209" s="30"/>
      <c r="B209" s="31" t="s">
        <v>303</v>
      </c>
      <c r="C209" s="29" t="s">
        <v>304</v>
      </c>
      <c r="D209" s="8"/>
      <c r="E209" s="20">
        <v>2000</v>
      </c>
      <c r="F209" s="20">
        <v>0</v>
      </c>
      <c r="G209" s="20">
        <v>1173</v>
      </c>
      <c r="H209" s="20">
        <v>676</v>
      </c>
      <c r="I209" s="20">
        <v>0</v>
      </c>
      <c r="J209" s="20">
        <v>0</v>
      </c>
      <c r="K209" s="8">
        <v>1000</v>
      </c>
      <c r="L209" s="20">
        <f t="shared" si="35"/>
        <v>1000</v>
      </c>
      <c r="M209" s="24">
        <v>0</v>
      </c>
      <c r="N209" s="24">
        <v>0</v>
      </c>
      <c r="O209" s="240">
        <f t="shared" si="34"/>
        <v>3.1118948383684935E-05</v>
      </c>
    </row>
    <row r="210" spans="1:15" ht="16.5" customHeight="1">
      <c r="A210" s="30"/>
      <c r="B210" s="31" t="s">
        <v>319</v>
      </c>
      <c r="C210" s="29" t="s">
        <v>320</v>
      </c>
      <c r="D210" s="8"/>
      <c r="E210" s="20">
        <v>13840</v>
      </c>
      <c r="F210" s="20">
        <v>0</v>
      </c>
      <c r="G210" s="20">
        <v>9183</v>
      </c>
      <c r="H210" s="20">
        <v>8569</v>
      </c>
      <c r="I210" s="20">
        <v>0</v>
      </c>
      <c r="J210" s="20">
        <v>0</v>
      </c>
      <c r="K210" s="8">
        <v>0</v>
      </c>
      <c r="L210" s="20">
        <f t="shared" si="35"/>
        <v>0</v>
      </c>
      <c r="M210" s="24">
        <v>0</v>
      </c>
      <c r="N210" s="24">
        <v>0</v>
      </c>
      <c r="O210" s="240">
        <f t="shared" si="34"/>
        <v>0</v>
      </c>
    </row>
    <row r="211" spans="1:15" ht="16.5" customHeight="1">
      <c r="A211" s="30"/>
      <c r="B211" s="31" t="s">
        <v>389</v>
      </c>
      <c r="C211" s="29" t="s">
        <v>390</v>
      </c>
      <c r="D211" s="8">
        <v>62500</v>
      </c>
      <c r="E211" s="20">
        <v>160</v>
      </c>
      <c r="F211" s="20">
        <v>0</v>
      </c>
      <c r="G211" s="20">
        <v>0</v>
      </c>
      <c r="H211" s="20">
        <v>160</v>
      </c>
      <c r="I211" s="20">
        <v>0</v>
      </c>
      <c r="J211" s="20">
        <v>0</v>
      </c>
      <c r="K211" s="8">
        <v>160</v>
      </c>
      <c r="L211" s="20">
        <f t="shared" si="35"/>
        <v>160</v>
      </c>
      <c r="M211" s="24">
        <v>0</v>
      </c>
      <c r="N211" s="24">
        <v>0</v>
      </c>
      <c r="O211" s="240">
        <f t="shared" si="34"/>
        <v>4.979031741389589E-06</v>
      </c>
    </row>
    <row r="212" spans="1:15" ht="16.5" customHeight="1">
      <c r="A212" s="30"/>
      <c r="B212" s="31" t="s">
        <v>361</v>
      </c>
      <c r="C212" s="29" t="s">
        <v>365</v>
      </c>
      <c r="D212" s="8"/>
      <c r="E212" s="20"/>
      <c r="F212" s="20"/>
      <c r="G212" s="20"/>
      <c r="H212" s="20"/>
      <c r="I212" s="20"/>
      <c r="J212" s="20"/>
      <c r="K212" s="8">
        <v>10500</v>
      </c>
      <c r="L212" s="20">
        <f t="shared" si="35"/>
        <v>10500</v>
      </c>
      <c r="M212" s="24">
        <v>0</v>
      </c>
      <c r="N212" s="24">
        <v>0</v>
      </c>
      <c r="O212" s="240">
        <f t="shared" si="34"/>
        <v>0.0003267489580286918</v>
      </c>
    </row>
    <row r="213" spans="1:15" ht="16.5" customHeight="1">
      <c r="A213" s="17" t="s">
        <v>738</v>
      </c>
      <c r="B213" s="27"/>
      <c r="C213" s="4" t="s">
        <v>465</v>
      </c>
      <c r="D213" s="7"/>
      <c r="E213" s="7"/>
      <c r="F213" s="7"/>
      <c r="G213" s="7"/>
      <c r="H213" s="7"/>
      <c r="I213" s="7"/>
      <c r="J213" s="7"/>
      <c r="K213" s="7">
        <f>SUM(K214:K215)</f>
        <v>3000</v>
      </c>
      <c r="L213" s="7">
        <f t="shared" si="35"/>
        <v>3000</v>
      </c>
      <c r="M213" s="20">
        <f>SUM(M214:M215)</f>
        <v>0</v>
      </c>
      <c r="N213" s="20">
        <f>SUM(N214:N215)</f>
        <v>0</v>
      </c>
      <c r="O213" s="282">
        <f t="shared" si="34"/>
        <v>9.33568451510548E-05</v>
      </c>
    </row>
    <row r="214" spans="1:15" ht="16.5" customHeight="1">
      <c r="A214" s="17"/>
      <c r="B214" s="31" t="s">
        <v>291</v>
      </c>
      <c r="C214" s="29" t="s">
        <v>292</v>
      </c>
      <c r="D214" s="7"/>
      <c r="E214" s="7"/>
      <c r="F214" s="7"/>
      <c r="G214" s="7"/>
      <c r="H214" s="7"/>
      <c r="I214" s="7"/>
      <c r="J214" s="7"/>
      <c r="K214" s="20">
        <v>1400</v>
      </c>
      <c r="L214" s="20">
        <f t="shared" si="35"/>
        <v>1400</v>
      </c>
      <c r="M214" s="21">
        <v>0</v>
      </c>
      <c r="N214" s="21">
        <v>0</v>
      </c>
      <c r="O214" s="240">
        <f t="shared" si="34"/>
        <v>4.356652773715891E-05</v>
      </c>
    </row>
    <row r="215" spans="1:15" ht="16.5" customHeight="1">
      <c r="A215" s="17"/>
      <c r="B215" s="31" t="s">
        <v>297</v>
      </c>
      <c r="C215" s="29" t="s">
        <v>273</v>
      </c>
      <c r="D215" s="7"/>
      <c r="E215" s="7"/>
      <c r="F215" s="7"/>
      <c r="G215" s="7"/>
      <c r="H215" s="7"/>
      <c r="I215" s="7"/>
      <c r="J215" s="7"/>
      <c r="K215" s="20">
        <v>1600</v>
      </c>
      <c r="L215" s="20">
        <f t="shared" si="35"/>
        <v>1600</v>
      </c>
      <c r="M215" s="21">
        <v>0</v>
      </c>
      <c r="N215" s="21">
        <v>0</v>
      </c>
      <c r="O215" s="240">
        <f t="shared" si="34"/>
        <v>4.979031741389589E-05</v>
      </c>
    </row>
    <row r="216" spans="1:15" s="286" customFormat="1" ht="15.75" customHeight="1">
      <c r="A216" s="287" t="s">
        <v>400</v>
      </c>
      <c r="B216" s="291"/>
      <c r="C216" s="293" t="s">
        <v>877</v>
      </c>
      <c r="D216" s="288" t="e">
        <f>D217+#REF!</f>
        <v>#REF!</v>
      </c>
      <c r="E216" s="288" t="e">
        <f>E217+#REF!</f>
        <v>#REF!</v>
      </c>
      <c r="F216" s="288" t="e">
        <f>F217+#REF!</f>
        <v>#REF!</v>
      </c>
      <c r="G216" s="288" t="e">
        <f>G217+#REF!</f>
        <v>#REF!</v>
      </c>
      <c r="H216" s="288" t="e">
        <f>H217+#REF!</f>
        <v>#REF!</v>
      </c>
      <c r="I216" s="288" t="e">
        <f>I217+#REF!</f>
        <v>#REF!</v>
      </c>
      <c r="J216" s="288" t="e">
        <f>J217+#REF!</f>
        <v>#REF!</v>
      </c>
      <c r="K216" s="288">
        <f>K217+K219</f>
        <v>780893</v>
      </c>
      <c r="L216" s="288">
        <f>L217</f>
        <v>0</v>
      </c>
      <c r="M216" s="290">
        <f>M217</f>
        <v>780893</v>
      </c>
      <c r="N216" s="290">
        <f>N217</f>
        <v>0</v>
      </c>
      <c r="O216" s="285">
        <f t="shared" si="34"/>
        <v>0.024300568960180877</v>
      </c>
    </row>
    <row r="217" spans="1:15" ht="27" customHeight="1">
      <c r="A217" s="17" t="s">
        <v>401</v>
      </c>
      <c r="B217" s="27"/>
      <c r="C217" s="4" t="s">
        <v>402</v>
      </c>
      <c r="D217" s="7">
        <f>D218</f>
        <v>2700</v>
      </c>
      <c r="E217" s="7">
        <f>E218</f>
        <v>360000</v>
      </c>
      <c r="F217" s="7">
        <f>F218</f>
        <v>0</v>
      </c>
      <c r="G217" s="7">
        <f>G218</f>
        <v>0</v>
      </c>
      <c r="H217" s="7">
        <f>H218+H219</f>
        <v>496142</v>
      </c>
      <c r="I217" s="7">
        <f>I218+I219</f>
        <v>0</v>
      </c>
      <c r="J217" s="7">
        <f>J218+J219</f>
        <v>0</v>
      </c>
      <c r="K217" s="7">
        <f>K218</f>
        <v>600000</v>
      </c>
      <c r="L217" s="7">
        <f>L218+L219</f>
        <v>0</v>
      </c>
      <c r="M217" s="7">
        <f>M218+M219</f>
        <v>780893</v>
      </c>
      <c r="N217" s="7">
        <f>N218+N219</f>
        <v>0</v>
      </c>
      <c r="O217" s="240">
        <f t="shared" si="34"/>
        <v>0.01867136903021096</v>
      </c>
    </row>
    <row r="218" spans="1:15" ht="14.25" customHeight="1">
      <c r="A218" s="30"/>
      <c r="B218" s="31" t="s">
        <v>403</v>
      </c>
      <c r="C218" s="29" t="s">
        <v>245</v>
      </c>
      <c r="D218" s="8">
        <v>2700</v>
      </c>
      <c r="E218" s="20">
        <v>360000</v>
      </c>
      <c r="F218" s="20">
        <v>0</v>
      </c>
      <c r="G218" s="20">
        <v>0</v>
      </c>
      <c r="H218" s="20">
        <v>463742</v>
      </c>
      <c r="I218" s="20">
        <v>0</v>
      </c>
      <c r="J218" s="20">
        <v>0</v>
      </c>
      <c r="K218" s="8">
        <v>600000</v>
      </c>
      <c r="L218" s="20">
        <v>0</v>
      </c>
      <c r="M218" s="24">
        <f>K218</f>
        <v>600000</v>
      </c>
      <c r="N218" s="24">
        <v>0</v>
      </c>
      <c r="O218" s="240">
        <f t="shared" si="34"/>
        <v>0.01867136903021096</v>
      </c>
    </row>
    <row r="219" spans="1:15" s="37" customFormat="1" ht="52.5" customHeight="1">
      <c r="A219" s="17" t="s">
        <v>404</v>
      </c>
      <c r="B219" s="27"/>
      <c r="C219" s="4" t="s">
        <v>585</v>
      </c>
      <c r="D219" s="7">
        <v>0</v>
      </c>
      <c r="E219" s="7">
        <v>390000</v>
      </c>
      <c r="F219" s="7">
        <v>0</v>
      </c>
      <c r="G219" s="7">
        <v>0</v>
      </c>
      <c r="H219" s="7">
        <v>32400</v>
      </c>
      <c r="I219" s="7">
        <v>0</v>
      </c>
      <c r="J219" s="7">
        <v>0</v>
      </c>
      <c r="K219" s="7">
        <f>K220+K221</f>
        <v>180893</v>
      </c>
      <c r="L219" s="7">
        <f aca="true" t="shared" si="36" ref="L219:N220">L220+L221</f>
        <v>0</v>
      </c>
      <c r="M219" s="7">
        <f t="shared" si="36"/>
        <v>180893</v>
      </c>
      <c r="N219" s="7">
        <f t="shared" si="36"/>
        <v>0</v>
      </c>
      <c r="O219" s="240">
        <f t="shared" si="34"/>
        <v>0.0056291999299699184</v>
      </c>
    </row>
    <row r="220" spans="1:15" s="37" customFormat="1" ht="26.25" customHeight="1">
      <c r="A220" s="30"/>
      <c r="B220" s="31" t="s">
        <v>405</v>
      </c>
      <c r="C220" s="29" t="s">
        <v>916</v>
      </c>
      <c r="D220" s="20"/>
      <c r="E220" s="20"/>
      <c r="F220" s="20"/>
      <c r="G220" s="20"/>
      <c r="H220" s="20"/>
      <c r="I220" s="20"/>
      <c r="J220" s="20"/>
      <c r="K220" s="20">
        <v>73217</v>
      </c>
      <c r="L220" s="7">
        <f t="shared" si="36"/>
        <v>0</v>
      </c>
      <c r="M220" s="20">
        <f>K220</f>
        <v>73217</v>
      </c>
      <c r="N220" s="20"/>
      <c r="O220" s="240">
        <f t="shared" si="34"/>
        <v>0.0022784360438082595</v>
      </c>
    </row>
    <row r="221" spans="1:27" ht="18.75" customHeight="1">
      <c r="A221" s="30"/>
      <c r="B221" s="31" t="s">
        <v>405</v>
      </c>
      <c r="C221" s="29" t="s">
        <v>916</v>
      </c>
      <c r="D221" s="8"/>
      <c r="E221" s="20"/>
      <c r="F221" s="20"/>
      <c r="G221" s="20"/>
      <c r="H221" s="20"/>
      <c r="I221" s="20"/>
      <c r="J221" s="20"/>
      <c r="K221" s="20">
        <v>107676</v>
      </c>
      <c r="L221" s="20">
        <v>0</v>
      </c>
      <c r="M221" s="24">
        <f>K221</f>
        <v>107676</v>
      </c>
      <c r="N221" s="21">
        <v>0</v>
      </c>
      <c r="O221" s="240">
        <f t="shared" si="34"/>
        <v>0.003350763886161659</v>
      </c>
      <c r="P221" s="301"/>
      <c r="Q221" s="301"/>
      <c r="R221" s="301"/>
      <c r="S221" s="301"/>
      <c r="T221" s="301"/>
      <c r="U221" s="301"/>
      <c r="V221" s="301"/>
      <c r="W221" s="301"/>
      <c r="X221" s="301"/>
      <c r="Y221" s="301"/>
      <c r="Z221" s="301"/>
      <c r="AA221" s="301"/>
    </row>
    <row r="222" spans="1:27" s="286" customFormat="1" ht="16.5" customHeight="1">
      <c r="A222" s="287" t="s">
        <v>406</v>
      </c>
      <c r="B222" s="291"/>
      <c r="C222" s="293" t="s">
        <v>407</v>
      </c>
      <c r="D222" s="288">
        <f aca="true" t="shared" si="37" ref="D222:N222">D223</f>
        <v>0</v>
      </c>
      <c r="E222" s="288">
        <f t="shared" si="37"/>
        <v>0</v>
      </c>
      <c r="F222" s="288">
        <f t="shared" si="37"/>
        <v>0</v>
      </c>
      <c r="G222" s="288">
        <f t="shared" si="37"/>
        <v>0</v>
      </c>
      <c r="H222" s="288">
        <f>H223</f>
        <v>53260</v>
      </c>
      <c r="I222" s="288">
        <f>I223</f>
        <v>0</v>
      </c>
      <c r="J222" s="288">
        <f>J223</f>
        <v>0</v>
      </c>
      <c r="K222" s="288">
        <f>K223</f>
        <v>388340</v>
      </c>
      <c r="L222" s="288">
        <f t="shared" si="37"/>
        <v>0</v>
      </c>
      <c r="M222" s="290">
        <f t="shared" si="37"/>
        <v>388340</v>
      </c>
      <c r="N222" s="290">
        <f t="shared" si="37"/>
        <v>0</v>
      </c>
      <c r="O222" s="285">
        <f aca="true" t="shared" si="38" ref="O222:O267">K222/$K$616</f>
        <v>0.012084732415320206</v>
      </c>
      <c r="P222" s="301"/>
      <c r="Q222" s="301"/>
      <c r="R222" s="301"/>
      <c r="S222" s="301"/>
      <c r="T222" s="301"/>
      <c r="U222" s="301"/>
      <c r="V222" s="301"/>
      <c r="W222" s="301"/>
      <c r="X222" s="301"/>
      <c r="Y222" s="301"/>
      <c r="Z222" s="301"/>
      <c r="AA222" s="301"/>
    </row>
    <row r="223" spans="1:27" ht="15" customHeight="1">
      <c r="A223" s="17" t="s">
        <v>408</v>
      </c>
      <c r="B223" s="27"/>
      <c r="C223" s="4" t="s">
        <v>409</v>
      </c>
      <c r="D223" s="7">
        <f>D224+D225+D226</f>
        <v>0</v>
      </c>
      <c r="E223" s="7">
        <f>E224+E225+E226</f>
        <v>0</v>
      </c>
      <c r="F223" s="7">
        <f aca="true" t="shared" si="39" ref="F223:N223">F224+F225</f>
        <v>0</v>
      </c>
      <c r="G223" s="7">
        <f t="shared" si="39"/>
        <v>0</v>
      </c>
      <c r="H223" s="7">
        <f t="shared" si="39"/>
        <v>53260</v>
      </c>
      <c r="I223" s="7">
        <f t="shared" si="39"/>
        <v>0</v>
      </c>
      <c r="J223" s="7">
        <f t="shared" si="39"/>
        <v>0</v>
      </c>
      <c r="K223" s="7">
        <f t="shared" si="39"/>
        <v>388340</v>
      </c>
      <c r="L223" s="7">
        <f t="shared" si="39"/>
        <v>0</v>
      </c>
      <c r="M223" s="7">
        <f t="shared" si="39"/>
        <v>388340</v>
      </c>
      <c r="N223" s="19">
        <f t="shared" si="39"/>
        <v>0</v>
      </c>
      <c r="O223" s="240">
        <f t="shared" si="38"/>
        <v>0.012084732415320206</v>
      </c>
      <c r="P223" s="301"/>
      <c r="Q223" s="301"/>
      <c r="R223" s="301"/>
      <c r="S223" s="301"/>
      <c r="T223" s="301"/>
      <c r="U223" s="301"/>
      <c r="V223" s="301"/>
      <c r="W223" s="301"/>
      <c r="X223" s="301"/>
      <c r="Y223" s="301"/>
      <c r="Z223" s="301"/>
      <c r="AA223" s="301"/>
    </row>
    <row r="224" spans="1:27" ht="17.25" customHeight="1">
      <c r="A224" s="30"/>
      <c r="B224" s="31" t="s">
        <v>410</v>
      </c>
      <c r="C224" s="29" t="s">
        <v>411</v>
      </c>
      <c r="D224" s="8">
        <v>0</v>
      </c>
      <c r="E224" s="20">
        <v>0</v>
      </c>
      <c r="F224" s="20">
        <v>0</v>
      </c>
      <c r="G224" s="20">
        <v>0</v>
      </c>
      <c r="H224" s="8">
        <v>18000</v>
      </c>
      <c r="I224" s="8"/>
      <c r="J224" s="8">
        <v>0</v>
      </c>
      <c r="K224" s="8">
        <v>0</v>
      </c>
      <c r="L224" s="20">
        <v>0</v>
      </c>
      <c r="M224" s="24">
        <f>K224</f>
        <v>0</v>
      </c>
      <c r="N224" s="24">
        <v>0</v>
      </c>
      <c r="O224" s="240">
        <f t="shared" si="38"/>
        <v>0</v>
      </c>
      <c r="P224" s="301"/>
      <c r="Q224" s="301"/>
      <c r="R224" s="301"/>
      <c r="S224" s="301"/>
      <c r="T224" s="301"/>
      <c r="U224" s="301"/>
      <c r="V224" s="301"/>
      <c r="W224" s="301"/>
      <c r="X224" s="301"/>
      <c r="Y224" s="301"/>
      <c r="Z224" s="301"/>
      <c r="AA224" s="301"/>
    </row>
    <row r="225" spans="1:27" ht="17.25" customHeight="1">
      <c r="A225" s="30"/>
      <c r="B225" s="31" t="s">
        <v>410</v>
      </c>
      <c r="C225" s="29" t="s">
        <v>412</v>
      </c>
      <c r="D225" s="8">
        <v>0</v>
      </c>
      <c r="E225" s="20">
        <v>0</v>
      </c>
      <c r="F225" s="20">
        <v>0</v>
      </c>
      <c r="G225" s="20">
        <v>0</v>
      </c>
      <c r="H225" s="8">
        <v>35260</v>
      </c>
      <c r="I225" s="8">
        <v>0</v>
      </c>
      <c r="J225" s="8">
        <v>0</v>
      </c>
      <c r="K225" s="8">
        <v>388340</v>
      </c>
      <c r="L225" s="20">
        <v>0</v>
      </c>
      <c r="M225" s="24">
        <f>K225</f>
        <v>388340</v>
      </c>
      <c r="N225" s="24">
        <v>0</v>
      </c>
      <c r="O225" s="240">
        <f t="shared" si="38"/>
        <v>0.012084732415320206</v>
      </c>
      <c r="P225" s="301"/>
      <c r="Q225" s="301"/>
      <c r="R225" s="301"/>
      <c r="S225" s="301"/>
      <c r="T225" s="301"/>
      <c r="U225" s="301"/>
      <c r="V225" s="301"/>
      <c r="W225" s="301"/>
      <c r="X225" s="301"/>
      <c r="Y225" s="301"/>
      <c r="Z225" s="301"/>
      <c r="AA225" s="301"/>
    </row>
    <row r="226" spans="1:27" ht="2.25" customHeight="1" hidden="1">
      <c r="A226" s="30"/>
      <c r="B226" s="31" t="s">
        <v>410</v>
      </c>
      <c r="C226" s="29" t="s">
        <v>876</v>
      </c>
      <c r="D226" s="8">
        <v>0</v>
      </c>
      <c r="E226" s="20"/>
      <c r="F226" s="20"/>
      <c r="G226" s="20"/>
      <c r="H226" s="8"/>
      <c r="I226" s="8"/>
      <c r="J226" s="8"/>
      <c r="K226" s="8">
        <v>0</v>
      </c>
      <c r="L226" s="20">
        <v>0</v>
      </c>
      <c r="M226" s="24">
        <f>K226</f>
        <v>0</v>
      </c>
      <c r="N226" s="24">
        <v>0</v>
      </c>
      <c r="O226" s="240">
        <f t="shared" si="38"/>
        <v>0</v>
      </c>
      <c r="P226" s="301"/>
      <c r="Q226" s="301"/>
      <c r="R226" s="301"/>
      <c r="S226" s="301"/>
      <c r="T226" s="301"/>
      <c r="U226" s="301"/>
      <c r="V226" s="301"/>
      <c r="W226" s="301"/>
      <c r="X226" s="301"/>
      <c r="Y226" s="301"/>
      <c r="Z226" s="301"/>
      <c r="AA226" s="301"/>
    </row>
    <row r="227" spans="1:27" s="286" customFormat="1" ht="16.5" customHeight="1">
      <c r="A227" s="287" t="s">
        <v>413</v>
      </c>
      <c r="B227" s="291"/>
      <c r="C227" s="293" t="s">
        <v>414</v>
      </c>
      <c r="D227" s="288" t="e">
        <f>D228+D245+D258+D345+D291+D324+D358+#REF!</f>
        <v>#REF!</v>
      </c>
      <c r="E227" s="288" t="e">
        <f>E228+E245+E258+E345+E291+E324+E358+#REF!+E369+E375+E371+#REF!</f>
        <v>#REF!</v>
      </c>
      <c r="F227" s="288" t="e">
        <f>F228+F245+F258+F291+F324+F345+F358+F369+F371+F375+#REF!+#REF!</f>
        <v>#REF!</v>
      </c>
      <c r="G227" s="288" t="e">
        <f>G228+G245+G258+G291+G324+G345+G358+G369+G371+G375+#REF!+#REF!</f>
        <v>#REF!</v>
      </c>
      <c r="H227" s="288" t="e">
        <f>H228+H243+H245+H258+H281+H291+H358+H371+H375+#REF!</f>
        <v>#REF!</v>
      </c>
      <c r="I227" s="288" t="e">
        <f>I228+I243+I245+I258+I281+I291+I358+I371+I375+#REF!</f>
        <v>#REF!</v>
      </c>
      <c r="J227" s="288" t="e">
        <f>J228+J243+J245+J258+J281+J291+J358+J371+J375+#REF!</f>
        <v>#REF!</v>
      </c>
      <c r="K227" s="288">
        <f>K228+K243+K245+K258+K281+K291+K358+K371+K375</f>
        <v>10086269</v>
      </c>
      <c r="L227" s="288">
        <f>L228+L243+L245+L258+L281+L291+L358+L371+L375</f>
        <v>0</v>
      </c>
      <c r="M227" s="288">
        <f>M228+M243+M245+M258+M281+M291+M358+M371+M375</f>
        <v>10074269</v>
      </c>
      <c r="N227" s="288">
        <f>N228+N243+N245+N258+N281+N291+N358+N371+N375</f>
        <v>12000</v>
      </c>
      <c r="O227" s="285">
        <f t="shared" si="38"/>
        <v>0.31387408439496145</v>
      </c>
      <c r="P227" s="301"/>
      <c r="Q227" s="301"/>
      <c r="R227" s="301"/>
      <c r="S227" s="301"/>
      <c r="T227" s="301"/>
      <c r="U227" s="301"/>
      <c r="V227" s="301"/>
      <c r="W227" s="301"/>
      <c r="X227" s="301"/>
      <c r="Y227" s="301"/>
      <c r="Z227" s="301"/>
      <c r="AA227" s="301"/>
    </row>
    <row r="228" spans="1:15" ht="16.5" customHeight="1">
      <c r="A228" s="17" t="s">
        <v>415</v>
      </c>
      <c r="B228" s="27"/>
      <c r="C228" s="4" t="s">
        <v>416</v>
      </c>
      <c r="D228" s="7">
        <f>D230+D231+D232+D241</f>
        <v>1274233</v>
      </c>
      <c r="E228" s="7" t="e">
        <f>E230+E231+E232+E233+E229+E235+#REF!+E236+#REF!+E238+E239+E240</f>
        <v>#REF!</v>
      </c>
      <c r="F228" s="7" t="e">
        <f>F230+F231+F232+F233+F229+F235+#REF!+F236+#REF!+F238+F239+F240</f>
        <v>#REF!</v>
      </c>
      <c r="G228" s="7" t="e">
        <f>G230+G231+G232+G233+G229+G235+#REF!+G236+#REF!+G238+G239+G240</f>
        <v>#REF!</v>
      </c>
      <c r="H228" s="7" t="e">
        <f>H230+H231+H232+H233+H235+H236+H238+H239+H240+H242+#REF!</f>
        <v>#REF!</v>
      </c>
      <c r="I228" s="7" t="e">
        <f>I230+I231+I232+I233+I235+I236+I238+I239+I240+I242+#REF!</f>
        <v>#REF!</v>
      </c>
      <c r="J228" s="7" t="e">
        <f>J230+J231+J232+J233+J235+J236+J238+J239+J240+J242+#REF!</f>
        <v>#REF!</v>
      </c>
      <c r="K228" s="7">
        <f>K230+K231+K232+K233+K234+K235+K236+K237+K238+K239+K240+K242+K229</f>
        <v>913386</v>
      </c>
      <c r="L228" s="7">
        <f>L230+L231+L232+L233+L234+L235+L236+L237+L238+L239+L240+L242+L229</f>
        <v>0</v>
      </c>
      <c r="M228" s="7">
        <f>M230+M231+M232+M233+M234+M235+M236+M237+M238+M239+M240+M242+M229</f>
        <v>913386</v>
      </c>
      <c r="N228" s="7">
        <f>N230+N231+N232+N233+N234+N235+N236+N237+N238+N239+N240+N242+N229</f>
        <v>0</v>
      </c>
      <c r="O228" s="240">
        <f t="shared" si="38"/>
        <v>0.028423611788380446</v>
      </c>
    </row>
    <row r="229" spans="1:15" ht="18" customHeight="1">
      <c r="A229" s="17"/>
      <c r="B229" s="25" t="s">
        <v>269</v>
      </c>
      <c r="C229" s="11" t="s">
        <v>915</v>
      </c>
      <c r="D229" s="8"/>
      <c r="E229" s="8">
        <v>1974</v>
      </c>
      <c r="F229" s="8">
        <v>0</v>
      </c>
      <c r="G229" s="8">
        <v>0</v>
      </c>
      <c r="H229" s="8"/>
      <c r="I229" s="8"/>
      <c r="J229" s="8"/>
      <c r="K229" s="8">
        <v>0</v>
      </c>
      <c r="L229" s="8">
        <v>0</v>
      </c>
      <c r="M229" s="24">
        <f>K229</f>
        <v>0</v>
      </c>
      <c r="N229" s="24">
        <v>0</v>
      </c>
      <c r="O229" s="240">
        <f t="shared" si="38"/>
        <v>0</v>
      </c>
    </row>
    <row r="230" spans="1:15" ht="25.5" customHeight="1">
      <c r="A230" s="17"/>
      <c r="B230" s="18" t="s">
        <v>281</v>
      </c>
      <c r="C230" s="11" t="s">
        <v>282</v>
      </c>
      <c r="D230" s="8">
        <v>866965</v>
      </c>
      <c r="E230" s="8">
        <v>823342</v>
      </c>
      <c r="F230" s="8">
        <v>45000</v>
      </c>
      <c r="G230" s="8">
        <v>24814</v>
      </c>
      <c r="H230" s="8">
        <v>355622</v>
      </c>
      <c r="I230" s="8">
        <v>0</v>
      </c>
      <c r="J230" s="8">
        <v>0</v>
      </c>
      <c r="K230" s="8">
        <v>456714</v>
      </c>
      <c r="L230" s="8">
        <v>0</v>
      </c>
      <c r="M230" s="24">
        <f>K230</f>
        <v>456714</v>
      </c>
      <c r="N230" s="24">
        <v>0</v>
      </c>
      <c r="O230" s="240">
        <f t="shared" si="38"/>
        <v>0.01421245939210628</v>
      </c>
    </row>
    <row r="231" spans="1:15" ht="15.75" customHeight="1">
      <c r="A231" s="17"/>
      <c r="B231" s="18" t="s">
        <v>285</v>
      </c>
      <c r="C231" s="11" t="s">
        <v>286</v>
      </c>
      <c r="D231" s="8">
        <v>75166</v>
      </c>
      <c r="E231" s="8">
        <v>81513</v>
      </c>
      <c r="F231" s="8">
        <v>0</v>
      </c>
      <c r="G231" s="8">
        <v>0</v>
      </c>
      <c r="H231" s="8">
        <v>40794</v>
      </c>
      <c r="I231" s="8">
        <v>0</v>
      </c>
      <c r="J231" s="8">
        <v>0</v>
      </c>
      <c r="K231" s="8">
        <v>33500</v>
      </c>
      <c r="L231" s="8">
        <v>0</v>
      </c>
      <c r="M231" s="24">
        <f aca="true" t="shared" si="40" ref="M231:M242">K231</f>
        <v>33500</v>
      </c>
      <c r="N231" s="24">
        <v>0</v>
      </c>
      <c r="O231" s="240">
        <f t="shared" si="38"/>
        <v>0.0010424847708534453</v>
      </c>
    </row>
    <row r="232" spans="1:15" ht="15" customHeight="1">
      <c r="A232" s="17"/>
      <c r="B232" s="25" t="s">
        <v>338</v>
      </c>
      <c r="C232" s="11" t="s">
        <v>315</v>
      </c>
      <c r="D232" s="8">
        <v>205528</v>
      </c>
      <c r="E232" s="8">
        <v>158209</v>
      </c>
      <c r="F232" s="8">
        <v>8046</v>
      </c>
      <c r="G232" s="8">
        <v>4948</v>
      </c>
      <c r="H232" s="8">
        <v>70500</v>
      </c>
      <c r="I232" s="8">
        <v>0</v>
      </c>
      <c r="J232" s="8">
        <v>0</v>
      </c>
      <c r="K232" s="8">
        <v>88900</v>
      </c>
      <c r="L232" s="8">
        <v>0</v>
      </c>
      <c r="M232" s="24">
        <f t="shared" si="40"/>
        <v>88900</v>
      </c>
      <c r="N232" s="24">
        <v>0</v>
      </c>
      <c r="O232" s="240">
        <f t="shared" si="38"/>
        <v>0.0027664745113095907</v>
      </c>
    </row>
    <row r="233" spans="1:15" ht="15" customHeight="1">
      <c r="A233" s="17"/>
      <c r="B233" s="25" t="s">
        <v>289</v>
      </c>
      <c r="C233" s="11" t="s">
        <v>290</v>
      </c>
      <c r="D233" s="8"/>
      <c r="E233" s="8">
        <v>21676</v>
      </c>
      <c r="F233" s="8">
        <v>1102</v>
      </c>
      <c r="G233" s="8">
        <v>680</v>
      </c>
      <c r="H233" s="8">
        <v>9660</v>
      </c>
      <c r="I233" s="8">
        <v>0</v>
      </c>
      <c r="J233" s="8">
        <v>0</v>
      </c>
      <c r="K233" s="8">
        <v>12000</v>
      </c>
      <c r="L233" s="8">
        <v>0</v>
      </c>
      <c r="M233" s="24">
        <f t="shared" si="40"/>
        <v>12000</v>
      </c>
      <c r="N233" s="24">
        <v>0</v>
      </c>
      <c r="O233" s="240">
        <f t="shared" si="38"/>
        <v>0.0003734273806042192</v>
      </c>
    </row>
    <row r="234" spans="1:15" ht="15" customHeight="1">
      <c r="A234" s="17"/>
      <c r="B234" s="25" t="s">
        <v>37</v>
      </c>
      <c r="C234" s="11" t="s">
        <v>52</v>
      </c>
      <c r="D234" s="8"/>
      <c r="E234" s="8"/>
      <c r="F234" s="8"/>
      <c r="G234" s="8"/>
      <c r="H234" s="8"/>
      <c r="I234" s="8"/>
      <c r="J234" s="8"/>
      <c r="K234" s="8">
        <v>2000</v>
      </c>
      <c r="L234" s="8">
        <v>0</v>
      </c>
      <c r="M234" s="24">
        <f>K234</f>
        <v>2000</v>
      </c>
      <c r="N234" s="24"/>
      <c r="O234" s="240">
        <f t="shared" si="38"/>
        <v>6.223789676736987E-05</v>
      </c>
    </row>
    <row r="235" spans="1:15" ht="16.5" customHeight="1">
      <c r="A235" s="17"/>
      <c r="B235" s="25" t="s">
        <v>291</v>
      </c>
      <c r="C235" s="11" t="s">
        <v>419</v>
      </c>
      <c r="D235" s="8"/>
      <c r="E235" s="8">
        <v>35892</v>
      </c>
      <c r="F235" s="8">
        <v>2000</v>
      </c>
      <c r="G235" s="8">
        <v>0</v>
      </c>
      <c r="H235" s="8">
        <v>22000</v>
      </c>
      <c r="I235" s="8">
        <v>0</v>
      </c>
      <c r="J235" s="8">
        <v>0</v>
      </c>
      <c r="K235" s="8">
        <v>43500</v>
      </c>
      <c r="L235" s="8">
        <v>0</v>
      </c>
      <c r="M235" s="24">
        <f t="shared" si="40"/>
        <v>43500</v>
      </c>
      <c r="N235" s="24">
        <v>0</v>
      </c>
      <c r="O235" s="240">
        <f t="shared" si="38"/>
        <v>0.0013536742546902945</v>
      </c>
    </row>
    <row r="236" spans="1:15" ht="16.5" customHeight="1">
      <c r="A236" s="17"/>
      <c r="B236" s="25" t="s">
        <v>293</v>
      </c>
      <c r="C236" s="11" t="s">
        <v>383</v>
      </c>
      <c r="D236" s="8"/>
      <c r="E236" s="8">
        <v>12822</v>
      </c>
      <c r="F236" s="8">
        <v>0</v>
      </c>
      <c r="G236" s="8">
        <v>0</v>
      </c>
      <c r="H236" s="8">
        <v>8850</v>
      </c>
      <c r="I236" s="8">
        <v>0</v>
      </c>
      <c r="J236" s="8">
        <v>0</v>
      </c>
      <c r="K236" s="8">
        <v>9135</v>
      </c>
      <c r="L236" s="8">
        <v>0</v>
      </c>
      <c r="M236" s="24">
        <f t="shared" si="40"/>
        <v>9135</v>
      </c>
      <c r="N236" s="24">
        <v>0</v>
      </c>
      <c r="O236" s="240">
        <f t="shared" si="38"/>
        <v>0.00028427159348496186</v>
      </c>
    </row>
    <row r="237" spans="1:15" ht="16.5" customHeight="1">
      <c r="A237" s="17"/>
      <c r="B237" s="25" t="s">
        <v>295</v>
      </c>
      <c r="C237" s="11" t="s">
        <v>296</v>
      </c>
      <c r="D237" s="8"/>
      <c r="E237" s="8"/>
      <c r="F237" s="8"/>
      <c r="G237" s="8"/>
      <c r="H237" s="8"/>
      <c r="I237" s="8"/>
      <c r="J237" s="8"/>
      <c r="K237" s="8">
        <v>0</v>
      </c>
      <c r="L237" s="8">
        <v>0</v>
      </c>
      <c r="M237" s="24">
        <f>K237</f>
        <v>0</v>
      </c>
      <c r="N237" s="24">
        <v>0</v>
      </c>
      <c r="O237" s="240">
        <f t="shared" si="38"/>
        <v>0</v>
      </c>
    </row>
    <row r="238" spans="1:15" ht="16.5" customHeight="1">
      <c r="A238" s="17"/>
      <c r="B238" s="25" t="s">
        <v>297</v>
      </c>
      <c r="C238" s="11" t="s">
        <v>385</v>
      </c>
      <c r="D238" s="8"/>
      <c r="E238" s="8">
        <v>9517</v>
      </c>
      <c r="F238" s="8">
        <v>0</v>
      </c>
      <c r="G238" s="8">
        <v>0</v>
      </c>
      <c r="H238" s="8">
        <v>5400</v>
      </c>
      <c r="I238" s="8">
        <v>0</v>
      </c>
      <c r="J238" s="8">
        <v>0</v>
      </c>
      <c r="K238" s="8">
        <v>16380</v>
      </c>
      <c r="L238" s="8">
        <v>0</v>
      </c>
      <c r="M238" s="24">
        <f t="shared" si="40"/>
        <v>16380</v>
      </c>
      <c r="N238" s="24">
        <v>0</v>
      </c>
      <c r="O238" s="240">
        <f t="shared" si="38"/>
        <v>0.0005097283745247592</v>
      </c>
    </row>
    <row r="239" spans="1:15" ht="15" customHeight="1">
      <c r="A239" s="17"/>
      <c r="B239" s="25" t="s">
        <v>299</v>
      </c>
      <c r="C239" s="11" t="s">
        <v>300</v>
      </c>
      <c r="D239" s="8"/>
      <c r="E239" s="8">
        <v>229</v>
      </c>
      <c r="F239" s="8">
        <v>800</v>
      </c>
      <c r="G239" s="8">
        <v>0</v>
      </c>
      <c r="H239" s="8">
        <v>200</v>
      </c>
      <c r="I239" s="8">
        <v>0</v>
      </c>
      <c r="J239" s="8">
        <v>0</v>
      </c>
      <c r="K239" s="8">
        <v>1200</v>
      </c>
      <c r="L239" s="8">
        <v>0</v>
      </c>
      <c r="M239" s="24">
        <f t="shared" si="40"/>
        <v>1200</v>
      </c>
      <c r="N239" s="24">
        <v>0</v>
      </c>
      <c r="O239" s="240">
        <f t="shared" si="38"/>
        <v>3.734273806042192E-05</v>
      </c>
    </row>
    <row r="240" spans="1:15" ht="17.25" customHeight="1">
      <c r="A240" s="17"/>
      <c r="B240" s="25" t="s">
        <v>303</v>
      </c>
      <c r="C240" s="11" t="s">
        <v>304</v>
      </c>
      <c r="D240" s="8"/>
      <c r="E240" s="8">
        <v>60464</v>
      </c>
      <c r="F240" s="8">
        <v>0</v>
      </c>
      <c r="G240" s="8">
        <v>0</v>
      </c>
      <c r="H240" s="8">
        <v>17534</v>
      </c>
      <c r="I240" s="8">
        <v>0</v>
      </c>
      <c r="J240" s="8">
        <v>0</v>
      </c>
      <c r="K240" s="8">
        <v>29453</v>
      </c>
      <c r="L240" s="8">
        <v>0</v>
      </c>
      <c r="M240" s="24">
        <f t="shared" si="40"/>
        <v>29453</v>
      </c>
      <c r="N240" s="24">
        <v>0</v>
      </c>
      <c r="O240" s="240">
        <f t="shared" si="38"/>
        <v>0.0009165463867446723</v>
      </c>
    </row>
    <row r="241" spans="1:15" ht="18.75" customHeight="1" hidden="1">
      <c r="A241" s="17"/>
      <c r="B241" s="18"/>
      <c r="C241" s="8" t="s">
        <v>422</v>
      </c>
      <c r="D241" s="8">
        <v>126574</v>
      </c>
      <c r="E241" s="8"/>
      <c r="F241" s="8"/>
      <c r="G241" s="8"/>
      <c r="H241" s="8"/>
      <c r="I241" s="8"/>
      <c r="J241" s="8"/>
      <c r="K241" s="8"/>
      <c r="L241" s="8"/>
      <c r="M241" s="24">
        <f t="shared" si="40"/>
        <v>0</v>
      </c>
      <c r="N241" s="24">
        <v>0</v>
      </c>
      <c r="O241" s="240">
        <f t="shared" si="38"/>
        <v>0</v>
      </c>
    </row>
    <row r="242" spans="1:15" ht="24" customHeight="1">
      <c r="A242" s="17"/>
      <c r="B242" s="18" t="s">
        <v>423</v>
      </c>
      <c r="C242" s="208" t="s">
        <v>621</v>
      </c>
      <c r="D242" s="8"/>
      <c r="E242" s="8"/>
      <c r="F242" s="8"/>
      <c r="G242" s="8"/>
      <c r="H242" s="8">
        <v>181417</v>
      </c>
      <c r="I242" s="8">
        <v>0</v>
      </c>
      <c r="J242" s="8">
        <v>0</v>
      </c>
      <c r="K242" s="8">
        <v>220604</v>
      </c>
      <c r="L242" s="8">
        <v>0</v>
      </c>
      <c r="M242" s="24">
        <f t="shared" si="40"/>
        <v>220604</v>
      </c>
      <c r="N242" s="24">
        <v>0</v>
      </c>
      <c r="O242" s="240">
        <f t="shared" si="38"/>
        <v>0.006864964489234431</v>
      </c>
    </row>
    <row r="243" spans="1:15" ht="18.75" customHeight="1">
      <c r="A243" s="17" t="s">
        <v>620</v>
      </c>
      <c r="B243" s="27"/>
      <c r="C243" s="4" t="s">
        <v>619</v>
      </c>
      <c r="D243" s="7"/>
      <c r="E243" s="7"/>
      <c r="F243" s="7"/>
      <c r="G243" s="7"/>
      <c r="H243" s="7">
        <f aca="true" t="shared" si="41" ref="H243:N243">H244</f>
        <v>65981</v>
      </c>
      <c r="I243" s="7">
        <f t="shared" si="41"/>
        <v>0</v>
      </c>
      <c r="J243" s="7">
        <f t="shared" si="41"/>
        <v>0</v>
      </c>
      <c r="K243" s="7">
        <f t="shared" si="41"/>
        <v>111982</v>
      </c>
      <c r="L243" s="7">
        <f t="shared" si="41"/>
        <v>0</v>
      </c>
      <c r="M243" s="7">
        <f t="shared" si="41"/>
        <v>111982</v>
      </c>
      <c r="N243" s="7">
        <f t="shared" si="41"/>
        <v>0</v>
      </c>
      <c r="O243" s="240">
        <f t="shared" si="38"/>
        <v>0.0034847620779018063</v>
      </c>
    </row>
    <row r="244" spans="1:15" ht="21.75" customHeight="1">
      <c r="A244" s="17"/>
      <c r="B244" s="18" t="s">
        <v>423</v>
      </c>
      <c r="C244" s="208" t="s">
        <v>621</v>
      </c>
      <c r="D244" s="8"/>
      <c r="E244" s="8"/>
      <c r="F244" s="8"/>
      <c r="G244" s="8"/>
      <c r="H244" s="8">
        <v>65981</v>
      </c>
      <c r="I244" s="8">
        <v>0</v>
      </c>
      <c r="J244" s="8">
        <v>0</v>
      </c>
      <c r="K244" s="8">
        <v>111982</v>
      </c>
      <c r="L244" s="8">
        <v>0</v>
      </c>
      <c r="M244" s="24">
        <f>K244</f>
        <v>111982</v>
      </c>
      <c r="N244" s="24">
        <v>0</v>
      </c>
      <c r="O244" s="240">
        <f t="shared" si="38"/>
        <v>0.0034847620779018063</v>
      </c>
    </row>
    <row r="245" spans="1:15" ht="18.75" customHeight="1">
      <c r="A245" s="17" t="s">
        <v>425</v>
      </c>
      <c r="B245" s="27"/>
      <c r="C245" s="4" t="s">
        <v>427</v>
      </c>
      <c r="D245" s="7">
        <f>D246+D247+D248+D250</f>
        <v>276119</v>
      </c>
      <c r="E245" s="7" t="e">
        <f>E246+E247+E248+E249+E250+E251+#REF!+#REF!+E255</f>
        <v>#REF!</v>
      </c>
      <c r="F245" s="7" t="e">
        <f>F246+F247+F248+F249+F250+F251+#REF!+#REF!+F255</f>
        <v>#REF!</v>
      </c>
      <c r="G245" s="7" t="e">
        <f>G246+G247+G248+G249+G250+G251+#REF!+#REF!+G255</f>
        <v>#REF!</v>
      </c>
      <c r="H245" s="7">
        <f>H246+H247+H248+H249+H251+H255+H257+H253</f>
        <v>416271</v>
      </c>
      <c r="I245" s="7">
        <f>I246+I247+I248+I249+I251+I255+I257+I253</f>
        <v>0</v>
      </c>
      <c r="J245" s="7">
        <f>J246+J247+J248+J249+J251+J255+J257+J253</f>
        <v>0</v>
      </c>
      <c r="K245" s="7">
        <f>K246+K247+K248+K249+K251+K255+K257+K253+K254+K250+K252</f>
        <v>632623</v>
      </c>
      <c r="L245" s="7">
        <f>L246+L247+L248+L249+L251+L255+L257+L253+L254+L250+L252</f>
        <v>0</v>
      </c>
      <c r="M245" s="7">
        <f>M246+M247+M248+M249+M251+M255+M257+M253+M254+M250+M252</f>
        <v>632623</v>
      </c>
      <c r="N245" s="7">
        <f>N246+N247+N248+N249+N251+N255+N257+N253+N254+N250+N252</f>
        <v>0</v>
      </c>
      <c r="O245" s="240">
        <f t="shared" si="38"/>
        <v>0.019686562483331914</v>
      </c>
    </row>
    <row r="246" spans="1:15" ht="24.75" customHeight="1">
      <c r="A246" s="17"/>
      <c r="B246" s="18" t="s">
        <v>281</v>
      </c>
      <c r="C246" s="11" t="s">
        <v>282</v>
      </c>
      <c r="D246" s="8">
        <v>212518</v>
      </c>
      <c r="E246" s="8">
        <v>225071</v>
      </c>
      <c r="F246" s="8">
        <v>24814</v>
      </c>
      <c r="G246" s="8">
        <v>0</v>
      </c>
      <c r="H246" s="8">
        <v>279732</v>
      </c>
      <c r="I246" s="8">
        <v>0</v>
      </c>
      <c r="J246" s="8">
        <v>0</v>
      </c>
      <c r="K246" s="8">
        <v>283933</v>
      </c>
      <c r="L246" s="8">
        <v>0</v>
      </c>
      <c r="M246" s="24">
        <f>K246</f>
        <v>283933</v>
      </c>
      <c r="N246" s="24">
        <v>0</v>
      </c>
      <c r="O246" s="240">
        <f t="shared" si="38"/>
        <v>0.008835696371424813</v>
      </c>
    </row>
    <row r="247" spans="1:15" ht="17.25" customHeight="1">
      <c r="A247" s="17"/>
      <c r="B247" s="18" t="s">
        <v>285</v>
      </c>
      <c r="C247" s="11" t="s">
        <v>286</v>
      </c>
      <c r="D247" s="8">
        <v>4145</v>
      </c>
      <c r="E247" s="8">
        <v>6923</v>
      </c>
      <c r="F247" s="8">
        <v>0</v>
      </c>
      <c r="G247" s="8">
        <v>0</v>
      </c>
      <c r="H247" s="20">
        <v>10410</v>
      </c>
      <c r="I247" s="20">
        <v>0</v>
      </c>
      <c r="J247" s="20">
        <v>0</v>
      </c>
      <c r="K247" s="8">
        <v>22984</v>
      </c>
      <c r="L247" s="8">
        <v>0</v>
      </c>
      <c r="M247" s="24">
        <f aca="true" t="shared" si="42" ref="M247:M257">K247</f>
        <v>22984</v>
      </c>
      <c r="N247" s="24">
        <v>0</v>
      </c>
      <c r="O247" s="240">
        <f t="shared" si="38"/>
        <v>0.0007152379096506145</v>
      </c>
    </row>
    <row r="248" spans="1:15" ht="15.75" customHeight="1">
      <c r="A248" s="17"/>
      <c r="B248" s="25" t="s">
        <v>338</v>
      </c>
      <c r="C248" s="11" t="s">
        <v>315</v>
      </c>
      <c r="D248" s="8">
        <v>44040</v>
      </c>
      <c r="E248" s="8">
        <v>40253</v>
      </c>
      <c r="F248" s="8">
        <v>4948</v>
      </c>
      <c r="G248" s="8">
        <v>0</v>
      </c>
      <c r="H248" s="8">
        <v>51300</v>
      </c>
      <c r="I248" s="8">
        <v>0</v>
      </c>
      <c r="J248" s="8">
        <v>0</v>
      </c>
      <c r="K248" s="8">
        <v>55214</v>
      </c>
      <c r="L248" s="8">
        <v>0</v>
      </c>
      <c r="M248" s="24">
        <f t="shared" si="42"/>
        <v>55214</v>
      </c>
      <c r="N248" s="24">
        <v>0</v>
      </c>
      <c r="O248" s="240">
        <f t="shared" si="38"/>
        <v>0.00171820161605678</v>
      </c>
    </row>
    <row r="249" spans="1:15" ht="14.25" customHeight="1">
      <c r="A249" s="17"/>
      <c r="B249" s="25" t="s">
        <v>289</v>
      </c>
      <c r="C249" s="11" t="s">
        <v>290</v>
      </c>
      <c r="D249" s="8"/>
      <c r="E249" s="8">
        <v>5538</v>
      </c>
      <c r="F249" s="8">
        <v>680</v>
      </c>
      <c r="G249" s="8">
        <v>0</v>
      </c>
      <c r="H249" s="8">
        <v>7030</v>
      </c>
      <c r="I249" s="8">
        <v>0</v>
      </c>
      <c r="J249" s="8">
        <v>0</v>
      </c>
      <c r="K249" s="8">
        <v>7520</v>
      </c>
      <c r="L249" s="8">
        <v>0</v>
      </c>
      <c r="M249" s="24">
        <f t="shared" si="42"/>
        <v>7520</v>
      </c>
      <c r="N249" s="24">
        <v>0</v>
      </c>
      <c r="O249" s="240">
        <f t="shared" si="38"/>
        <v>0.0002340144918453107</v>
      </c>
    </row>
    <row r="250" spans="1:15" ht="13.5" customHeight="1" hidden="1">
      <c r="A250" s="17"/>
      <c r="B250" s="18" t="s">
        <v>269</v>
      </c>
      <c r="C250" s="11" t="s">
        <v>915</v>
      </c>
      <c r="D250" s="8">
        <v>15416</v>
      </c>
      <c r="E250" s="8">
        <v>353</v>
      </c>
      <c r="F250" s="8">
        <v>0</v>
      </c>
      <c r="G250" s="8">
        <v>0</v>
      </c>
      <c r="H250" s="8"/>
      <c r="I250" s="8"/>
      <c r="J250" s="8"/>
      <c r="K250" s="8">
        <v>0</v>
      </c>
      <c r="L250" s="8">
        <v>0</v>
      </c>
      <c r="M250" s="24">
        <f t="shared" si="42"/>
        <v>0</v>
      </c>
      <c r="N250" s="24">
        <v>0</v>
      </c>
      <c r="O250" s="240">
        <f t="shared" si="38"/>
        <v>0</v>
      </c>
    </row>
    <row r="251" spans="1:15" ht="14.25" customHeight="1">
      <c r="A251" s="17"/>
      <c r="B251" s="18" t="s">
        <v>291</v>
      </c>
      <c r="C251" s="8" t="s">
        <v>428</v>
      </c>
      <c r="D251" s="8"/>
      <c r="E251" s="8">
        <v>1700</v>
      </c>
      <c r="F251" s="8">
        <v>0</v>
      </c>
      <c r="G251" s="8">
        <v>0</v>
      </c>
      <c r="H251" s="8">
        <v>300</v>
      </c>
      <c r="I251" s="8">
        <v>0</v>
      </c>
      <c r="J251" s="8">
        <v>0</v>
      </c>
      <c r="K251" s="8">
        <v>3255</v>
      </c>
      <c r="L251" s="8">
        <v>0</v>
      </c>
      <c r="M251" s="24">
        <f t="shared" si="42"/>
        <v>3255</v>
      </c>
      <c r="N251" s="24">
        <v>0</v>
      </c>
      <c r="O251" s="240">
        <f t="shared" si="38"/>
        <v>0.00010129217698889445</v>
      </c>
    </row>
    <row r="252" spans="1:15" ht="14.25" customHeight="1">
      <c r="A252" s="17"/>
      <c r="B252" s="18" t="s">
        <v>293</v>
      </c>
      <c r="C252" s="8" t="s">
        <v>383</v>
      </c>
      <c r="D252" s="8"/>
      <c r="E252" s="8"/>
      <c r="F252" s="8"/>
      <c r="G252" s="8"/>
      <c r="H252" s="8"/>
      <c r="I252" s="8"/>
      <c r="J252" s="8"/>
      <c r="K252" s="8">
        <v>2100</v>
      </c>
      <c r="L252" s="8">
        <v>0</v>
      </c>
      <c r="M252" s="24">
        <f t="shared" si="42"/>
        <v>2100</v>
      </c>
      <c r="N252" s="24">
        <v>0</v>
      </c>
      <c r="O252" s="240">
        <f t="shared" si="38"/>
        <v>6.534979160573836E-05</v>
      </c>
    </row>
    <row r="253" spans="1:15" ht="14.25" customHeight="1">
      <c r="A253" s="17"/>
      <c r="B253" s="18" t="s">
        <v>297</v>
      </c>
      <c r="C253" s="8" t="s">
        <v>385</v>
      </c>
      <c r="D253" s="8"/>
      <c r="E253" s="8"/>
      <c r="F253" s="8"/>
      <c r="G253" s="8"/>
      <c r="H253" s="8">
        <v>1700</v>
      </c>
      <c r="I253" s="8">
        <v>0</v>
      </c>
      <c r="J253" s="8">
        <v>0</v>
      </c>
      <c r="K253" s="8">
        <v>3675</v>
      </c>
      <c r="L253" s="8">
        <v>0</v>
      </c>
      <c r="M253" s="24">
        <f t="shared" si="42"/>
        <v>3675</v>
      </c>
      <c r="N253" s="24">
        <v>0</v>
      </c>
      <c r="O253" s="240">
        <f t="shared" si="38"/>
        <v>0.00011436213531004213</v>
      </c>
    </row>
    <row r="254" spans="1:15" ht="14.25" customHeight="1" hidden="1">
      <c r="A254" s="17"/>
      <c r="B254" s="18" t="s">
        <v>299</v>
      </c>
      <c r="C254" s="8" t="s">
        <v>300</v>
      </c>
      <c r="D254" s="8"/>
      <c r="E254" s="8"/>
      <c r="F254" s="8"/>
      <c r="G254" s="8"/>
      <c r="H254" s="8"/>
      <c r="I254" s="8"/>
      <c r="J254" s="8"/>
      <c r="K254" s="8">
        <v>0</v>
      </c>
      <c r="L254" s="8">
        <v>0</v>
      </c>
      <c r="M254" s="24">
        <f t="shared" si="42"/>
        <v>0</v>
      </c>
      <c r="N254" s="24">
        <v>0</v>
      </c>
      <c r="O254" s="240">
        <f t="shared" si="38"/>
        <v>0</v>
      </c>
    </row>
    <row r="255" spans="1:15" ht="18.75" customHeight="1">
      <c r="A255" s="17"/>
      <c r="B255" s="18" t="s">
        <v>303</v>
      </c>
      <c r="C255" s="8" t="s">
        <v>304</v>
      </c>
      <c r="D255" s="8"/>
      <c r="E255" s="8">
        <v>15689</v>
      </c>
      <c r="F255" s="8">
        <v>0</v>
      </c>
      <c r="G255" s="8">
        <v>0</v>
      </c>
      <c r="H255" s="20">
        <v>14740</v>
      </c>
      <c r="I255" s="20">
        <v>0</v>
      </c>
      <c r="J255" s="20">
        <v>0</v>
      </c>
      <c r="K255" s="8">
        <v>14862</v>
      </c>
      <c r="L255" s="8">
        <v>0</v>
      </c>
      <c r="M255" s="24">
        <f t="shared" si="42"/>
        <v>14862</v>
      </c>
      <c r="N255" s="24">
        <v>0</v>
      </c>
      <c r="O255" s="240">
        <f t="shared" si="38"/>
        <v>0.0004624898108783255</v>
      </c>
    </row>
    <row r="256" spans="1:15" ht="18.75" customHeight="1">
      <c r="A256" s="17"/>
      <c r="B256" s="18" t="s">
        <v>323</v>
      </c>
      <c r="C256" s="8" t="s">
        <v>176</v>
      </c>
      <c r="D256" s="8"/>
      <c r="E256" s="8"/>
      <c r="F256" s="8"/>
      <c r="G256" s="8"/>
      <c r="H256" s="20"/>
      <c r="I256" s="20"/>
      <c r="J256" s="20"/>
      <c r="K256" s="8">
        <v>0</v>
      </c>
      <c r="L256" s="8">
        <v>0</v>
      </c>
      <c r="M256" s="24">
        <v>0</v>
      </c>
      <c r="N256" s="24">
        <v>0</v>
      </c>
      <c r="O256" s="240">
        <f t="shared" si="38"/>
        <v>0</v>
      </c>
    </row>
    <row r="257" spans="1:15" ht="28.5" customHeight="1">
      <c r="A257" s="17"/>
      <c r="B257" s="18" t="s">
        <v>423</v>
      </c>
      <c r="C257" s="208" t="s">
        <v>211</v>
      </c>
      <c r="D257" s="8"/>
      <c r="E257" s="8"/>
      <c r="F257" s="8"/>
      <c r="G257" s="8"/>
      <c r="H257" s="8">
        <v>51059</v>
      </c>
      <c r="I257" s="8">
        <v>0</v>
      </c>
      <c r="J257" s="8">
        <v>0</v>
      </c>
      <c r="K257" s="8">
        <v>239080</v>
      </c>
      <c r="L257" s="8">
        <v>0</v>
      </c>
      <c r="M257" s="24">
        <f t="shared" si="42"/>
        <v>239080</v>
      </c>
      <c r="N257" s="24">
        <v>0</v>
      </c>
      <c r="O257" s="240">
        <f t="shared" si="38"/>
        <v>0.007439918179571394</v>
      </c>
    </row>
    <row r="258" spans="1:15" ht="12.75" customHeight="1">
      <c r="A258" s="17" t="s">
        <v>429</v>
      </c>
      <c r="B258" s="18"/>
      <c r="C258" s="7" t="s">
        <v>430</v>
      </c>
      <c r="D258" s="7" t="e">
        <f>D260+D261+D262+D264+D266+#REF!</f>
        <v>#REF!</v>
      </c>
      <c r="E258" s="7" t="e">
        <f>E260+E261+E262+E263+E264+E265+E266+E269+E270+#REF!+E271+E273+E274+E275+E277+#REF!</f>
        <v>#REF!</v>
      </c>
      <c r="F258" s="7" t="e">
        <f>F260+F261+F262+F263+F264+F265+F266+F269+F270+#REF!+F271+F273+F274+F275+F277+#REF!</f>
        <v>#REF!</v>
      </c>
      <c r="G258" s="7" t="e">
        <f>G260+G261+G262+G263+G264+G265+G266+G269+G270+#REF!+G271+G273+G274+G275+G277+#REF!</f>
        <v>#REF!</v>
      </c>
      <c r="H258" s="7" t="e">
        <f>H260+H261+H262+H263+H259+H265+H266+H268+H269+H270+#REF!+H271+H273+H274+H275+H277+H276</f>
        <v>#REF!</v>
      </c>
      <c r="I258" s="7" t="e">
        <f>I260+I261+I262+I263+I259+I265+I266+I268+I269+I270+#REF!+I271+I273+I274+I275+I277+I276</f>
        <v>#REF!</v>
      </c>
      <c r="J258" s="7" t="e">
        <f>J260+J261+J262+J263+J259+J265+J266+J268+J269+J270+#REF!+J271+J273+J274+J275+J277+J276</f>
        <v>#REF!</v>
      </c>
      <c r="K258" s="7">
        <f>SUM(K259:K277)</f>
        <v>2150273</v>
      </c>
      <c r="L258" s="7">
        <f>SUM(L259:L277)</f>
        <v>0</v>
      </c>
      <c r="M258" s="7">
        <f>SUM(M259:M277)</f>
        <v>2150273</v>
      </c>
      <c r="N258" s="7">
        <f>SUM(N259:N277)</f>
        <v>0</v>
      </c>
      <c r="O258" s="240">
        <f t="shared" si="38"/>
        <v>0.06691423449783135</v>
      </c>
    </row>
    <row r="259" spans="1:15" s="280" customFormat="1" ht="13.5" customHeight="1">
      <c r="A259" s="23"/>
      <c r="B259" s="18" t="s">
        <v>269</v>
      </c>
      <c r="C259" s="279" t="s">
        <v>431</v>
      </c>
      <c r="D259" s="279"/>
      <c r="E259" s="279"/>
      <c r="F259" s="279"/>
      <c r="G259" s="279"/>
      <c r="H259" s="279">
        <v>14208</v>
      </c>
      <c r="I259" s="279">
        <v>0</v>
      </c>
      <c r="J259" s="279">
        <v>0</v>
      </c>
      <c r="K259" s="279">
        <v>0</v>
      </c>
      <c r="L259" s="279">
        <v>0</v>
      </c>
      <c r="M259" s="24">
        <f>K259</f>
        <v>0</v>
      </c>
      <c r="N259" s="24">
        <v>0</v>
      </c>
      <c r="O259" s="240">
        <f t="shared" si="38"/>
        <v>0</v>
      </c>
    </row>
    <row r="260" spans="1:15" ht="23.25" customHeight="1">
      <c r="A260" s="23"/>
      <c r="B260" s="18" t="s">
        <v>281</v>
      </c>
      <c r="C260" s="11" t="s">
        <v>282</v>
      </c>
      <c r="D260" s="8">
        <v>1980166</v>
      </c>
      <c r="E260" s="8">
        <v>1975260</v>
      </c>
      <c r="F260" s="8">
        <v>27891</v>
      </c>
      <c r="G260" s="8">
        <v>26283</v>
      </c>
      <c r="H260" s="8">
        <v>1137604</v>
      </c>
      <c r="I260" s="8">
        <v>0</v>
      </c>
      <c r="J260" s="8">
        <v>0</v>
      </c>
      <c r="K260" s="8">
        <v>1304557</v>
      </c>
      <c r="L260" s="8">
        <v>0</v>
      </c>
      <c r="M260" s="24">
        <f>K260</f>
        <v>1304557</v>
      </c>
      <c r="N260" s="24">
        <v>0</v>
      </c>
      <c r="O260" s="240">
        <f t="shared" si="38"/>
        <v>0.040596441946574864</v>
      </c>
    </row>
    <row r="261" spans="1:15" ht="14.25" customHeight="1">
      <c r="A261" s="23"/>
      <c r="B261" s="18" t="s">
        <v>285</v>
      </c>
      <c r="C261" s="11" t="s">
        <v>286</v>
      </c>
      <c r="D261" s="8">
        <v>123848</v>
      </c>
      <c r="E261" s="8">
        <v>159042</v>
      </c>
      <c r="F261" s="8">
        <v>0</v>
      </c>
      <c r="G261" s="8">
        <v>0</v>
      </c>
      <c r="H261" s="8">
        <v>76054</v>
      </c>
      <c r="I261" s="8">
        <v>0</v>
      </c>
      <c r="J261" s="8">
        <v>0</v>
      </c>
      <c r="K261" s="8">
        <v>114653</v>
      </c>
      <c r="L261" s="8">
        <v>0</v>
      </c>
      <c r="M261" s="24">
        <f aca="true" t="shared" si="43" ref="M261:M280">K261</f>
        <v>114653</v>
      </c>
      <c r="N261" s="24">
        <v>0</v>
      </c>
      <c r="O261" s="240">
        <f t="shared" si="38"/>
        <v>0.0035678807890346287</v>
      </c>
    </row>
    <row r="262" spans="1:15" ht="15" customHeight="1">
      <c r="A262" s="23"/>
      <c r="B262" s="25" t="s">
        <v>338</v>
      </c>
      <c r="C262" s="11" t="s">
        <v>355</v>
      </c>
      <c r="D262" s="8">
        <v>414136</v>
      </c>
      <c r="E262" s="8">
        <v>370552</v>
      </c>
      <c r="F262" s="8">
        <v>2840</v>
      </c>
      <c r="G262" s="8">
        <v>2000</v>
      </c>
      <c r="H262" s="8">
        <v>214800</v>
      </c>
      <c r="I262" s="8">
        <v>0</v>
      </c>
      <c r="J262" s="8">
        <v>0</v>
      </c>
      <c r="K262" s="8">
        <v>222745</v>
      </c>
      <c r="L262" s="8">
        <v>0</v>
      </c>
      <c r="M262" s="24">
        <f t="shared" si="43"/>
        <v>222745</v>
      </c>
      <c r="N262" s="24">
        <v>0</v>
      </c>
      <c r="O262" s="240">
        <f t="shared" si="38"/>
        <v>0.0069315901577239</v>
      </c>
    </row>
    <row r="263" spans="1:15" ht="16.5" customHeight="1">
      <c r="A263" s="23"/>
      <c r="B263" s="25" t="s">
        <v>289</v>
      </c>
      <c r="C263" s="11" t="s">
        <v>290</v>
      </c>
      <c r="D263" s="8"/>
      <c r="E263" s="8">
        <v>50795</v>
      </c>
      <c r="F263" s="8">
        <v>390</v>
      </c>
      <c r="G263" s="8">
        <v>165</v>
      </c>
      <c r="H263" s="8">
        <v>29560</v>
      </c>
      <c r="I263" s="8">
        <v>0</v>
      </c>
      <c r="J263" s="8">
        <v>0</v>
      </c>
      <c r="K263" s="8">
        <v>30143</v>
      </c>
      <c r="L263" s="8">
        <v>0</v>
      </c>
      <c r="M263" s="24">
        <f t="shared" si="43"/>
        <v>30143</v>
      </c>
      <c r="N263" s="24">
        <v>0</v>
      </c>
      <c r="O263" s="240">
        <f t="shared" si="38"/>
        <v>0.0009380184611294149</v>
      </c>
    </row>
    <row r="264" spans="1:15" ht="13.5" customHeight="1" hidden="1">
      <c r="A264" s="23"/>
      <c r="B264" s="18"/>
      <c r="C264" s="8" t="s">
        <v>329</v>
      </c>
      <c r="D264" s="8">
        <v>403703</v>
      </c>
      <c r="E264" s="8">
        <v>14845</v>
      </c>
      <c r="F264" s="8">
        <v>23380</v>
      </c>
      <c r="G264" s="8">
        <v>0</v>
      </c>
      <c r="H264" s="8"/>
      <c r="I264" s="8">
        <v>0</v>
      </c>
      <c r="J264" s="8">
        <v>0</v>
      </c>
      <c r="K264" s="8"/>
      <c r="L264" s="8">
        <v>0</v>
      </c>
      <c r="M264" s="24">
        <f t="shared" si="43"/>
        <v>0</v>
      </c>
      <c r="N264" s="24">
        <v>0</v>
      </c>
      <c r="O264" s="240">
        <f t="shared" si="38"/>
        <v>0</v>
      </c>
    </row>
    <row r="265" spans="1:15" ht="15.75" customHeight="1">
      <c r="A265" s="23"/>
      <c r="B265" s="18" t="s">
        <v>432</v>
      </c>
      <c r="C265" s="8" t="s">
        <v>433</v>
      </c>
      <c r="D265" s="8"/>
      <c r="E265" s="8">
        <v>8110</v>
      </c>
      <c r="F265" s="8">
        <v>0</v>
      </c>
      <c r="G265" s="8">
        <v>0</v>
      </c>
      <c r="H265" s="8">
        <v>300</v>
      </c>
      <c r="I265" s="8">
        <v>0</v>
      </c>
      <c r="J265" s="8">
        <v>0</v>
      </c>
      <c r="K265" s="8">
        <v>5700</v>
      </c>
      <c r="L265" s="8">
        <v>0</v>
      </c>
      <c r="M265" s="24">
        <f t="shared" si="43"/>
        <v>5700</v>
      </c>
      <c r="N265" s="24">
        <v>0</v>
      </c>
      <c r="O265" s="240">
        <f t="shared" si="38"/>
        <v>0.00017737800578700413</v>
      </c>
    </row>
    <row r="266" spans="1:15" ht="15" customHeight="1">
      <c r="A266" s="23"/>
      <c r="B266" s="33">
        <v>4210</v>
      </c>
      <c r="C266" s="8" t="s">
        <v>318</v>
      </c>
      <c r="D266" s="8" t="e">
        <f>D269+#REF!</f>
        <v>#REF!</v>
      </c>
      <c r="E266" s="20">
        <v>110063</v>
      </c>
      <c r="F266" s="20">
        <v>262</v>
      </c>
      <c r="G266" s="20">
        <v>0</v>
      </c>
      <c r="H266" s="8">
        <v>94500</v>
      </c>
      <c r="I266" s="8">
        <v>0</v>
      </c>
      <c r="J266" s="8">
        <v>0</v>
      </c>
      <c r="K266" s="8">
        <v>90000</v>
      </c>
      <c r="L266" s="8">
        <v>0</v>
      </c>
      <c r="M266" s="24">
        <f t="shared" si="43"/>
        <v>90000</v>
      </c>
      <c r="N266" s="24">
        <v>0</v>
      </c>
      <c r="O266" s="240">
        <f t="shared" si="38"/>
        <v>0.0028007053545316437</v>
      </c>
    </row>
    <row r="267" spans="1:15" ht="15" customHeight="1">
      <c r="A267" s="23"/>
      <c r="B267" s="33">
        <v>4170</v>
      </c>
      <c r="C267" s="8" t="s">
        <v>733</v>
      </c>
      <c r="D267" s="8"/>
      <c r="E267" s="20"/>
      <c r="F267" s="20"/>
      <c r="G267" s="20"/>
      <c r="H267" s="8"/>
      <c r="I267" s="8"/>
      <c r="J267" s="8"/>
      <c r="K267" s="8">
        <v>1000</v>
      </c>
      <c r="L267" s="8"/>
      <c r="M267" s="24">
        <f t="shared" si="43"/>
        <v>1000</v>
      </c>
      <c r="N267" s="24"/>
      <c r="O267" s="240">
        <f t="shared" si="38"/>
        <v>3.1118948383684935E-05</v>
      </c>
    </row>
    <row r="268" spans="1:15" ht="15" customHeight="1">
      <c r="A268" s="23"/>
      <c r="B268" s="33">
        <v>4240</v>
      </c>
      <c r="C268" s="8" t="s">
        <v>421</v>
      </c>
      <c r="D268" s="8"/>
      <c r="E268" s="20"/>
      <c r="F268" s="20"/>
      <c r="G268" s="20"/>
      <c r="H268" s="8">
        <v>3000</v>
      </c>
      <c r="I268" s="8">
        <v>0</v>
      </c>
      <c r="J268" s="8">
        <v>0</v>
      </c>
      <c r="K268" s="8">
        <v>1850</v>
      </c>
      <c r="L268" s="8">
        <v>0</v>
      </c>
      <c r="M268" s="24">
        <f t="shared" si="43"/>
        <v>1850</v>
      </c>
      <c r="N268" s="24">
        <v>0</v>
      </c>
      <c r="O268" s="240">
        <f aca="true" t="shared" si="44" ref="O268:O295">K268/$K$616</f>
        <v>5.7570054509817124E-05</v>
      </c>
    </row>
    <row r="269" spans="1:15" ht="15" customHeight="1" hidden="1">
      <c r="A269" s="23"/>
      <c r="B269" s="18" t="s">
        <v>78</v>
      </c>
      <c r="C269" s="8" t="s">
        <v>79</v>
      </c>
      <c r="D269" s="8">
        <v>263344</v>
      </c>
      <c r="E269" s="8">
        <v>4750</v>
      </c>
      <c r="F269" s="8">
        <v>0</v>
      </c>
      <c r="G269" s="8">
        <v>0</v>
      </c>
      <c r="H269" s="8">
        <v>0</v>
      </c>
      <c r="I269" s="8">
        <v>0</v>
      </c>
      <c r="J269" s="8">
        <v>0</v>
      </c>
      <c r="K269" s="8"/>
      <c r="L269" s="8">
        <v>0</v>
      </c>
      <c r="M269" s="24">
        <f t="shared" si="43"/>
        <v>0</v>
      </c>
      <c r="N269" s="24">
        <v>0</v>
      </c>
      <c r="O269" s="240">
        <f t="shared" si="44"/>
        <v>0</v>
      </c>
    </row>
    <row r="270" spans="1:15" ht="15.75" customHeight="1">
      <c r="A270" s="23"/>
      <c r="B270" s="18" t="s">
        <v>293</v>
      </c>
      <c r="C270" s="8" t="s">
        <v>383</v>
      </c>
      <c r="D270" s="8"/>
      <c r="E270" s="8">
        <v>137000</v>
      </c>
      <c r="F270" s="8">
        <v>8000</v>
      </c>
      <c r="G270" s="8">
        <v>0</v>
      </c>
      <c r="H270" s="8">
        <v>38000</v>
      </c>
      <c r="I270" s="8">
        <v>0</v>
      </c>
      <c r="J270" s="8">
        <v>0</v>
      </c>
      <c r="K270" s="8">
        <v>31800</v>
      </c>
      <c r="L270" s="8">
        <v>0</v>
      </c>
      <c r="M270" s="24">
        <f t="shared" si="43"/>
        <v>31800</v>
      </c>
      <c r="N270" s="24">
        <v>0</v>
      </c>
      <c r="O270" s="240">
        <f t="shared" si="44"/>
        <v>0.0009895825586011809</v>
      </c>
    </row>
    <row r="271" spans="1:15" ht="16.5" customHeight="1">
      <c r="A271" s="23"/>
      <c r="B271" s="18" t="s">
        <v>297</v>
      </c>
      <c r="C271" s="8" t="s">
        <v>298</v>
      </c>
      <c r="D271" s="8"/>
      <c r="E271" s="8">
        <v>58100</v>
      </c>
      <c r="F271" s="8">
        <v>0</v>
      </c>
      <c r="G271" s="8">
        <v>4500</v>
      </c>
      <c r="H271" s="8">
        <v>30000</v>
      </c>
      <c r="I271" s="8">
        <v>0</v>
      </c>
      <c r="J271" s="8">
        <v>0</v>
      </c>
      <c r="K271" s="8">
        <v>30588</v>
      </c>
      <c r="L271" s="8">
        <v>0</v>
      </c>
      <c r="M271" s="24">
        <f t="shared" si="43"/>
        <v>30588</v>
      </c>
      <c r="N271" s="24">
        <v>0</v>
      </c>
      <c r="O271" s="240">
        <f t="shared" si="44"/>
        <v>0.0009518663931601547</v>
      </c>
    </row>
    <row r="272" spans="1:15" ht="16.5" customHeight="1">
      <c r="A272" s="23"/>
      <c r="B272" s="18" t="s">
        <v>53</v>
      </c>
      <c r="C272" s="8" t="s">
        <v>54</v>
      </c>
      <c r="D272" s="8"/>
      <c r="E272" s="8"/>
      <c r="F272" s="8"/>
      <c r="G272" s="8"/>
      <c r="H272" s="8"/>
      <c r="I272" s="8"/>
      <c r="J272" s="8"/>
      <c r="K272" s="8">
        <v>4200</v>
      </c>
      <c r="L272" s="8"/>
      <c r="M272" s="24">
        <f>K272</f>
        <v>4200</v>
      </c>
      <c r="N272" s="24"/>
      <c r="O272" s="240">
        <f t="shared" si="44"/>
        <v>0.00013069958321147672</v>
      </c>
    </row>
    <row r="273" spans="1:15" ht="17.25" customHeight="1">
      <c r="A273" s="23"/>
      <c r="B273" s="18" t="s">
        <v>299</v>
      </c>
      <c r="C273" s="8" t="s">
        <v>300</v>
      </c>
      <c r="D273" s="8"/>
      <c r="E273" s="8">
        <v>7500</v>
      </c>
      <c r="F273" s="8">
        <v>1200</v>
      </c>
      <c r="G273" s="8">
        <v>0</v>
      </c>
      <c r="H273" s="8">
        <v>3500</v>
      </c>
      <c r="I273" s="8">
        <v>0</v>
      </c>
      <c r="J273" s="8">
        <v>0</v>
      </c>
      <c r="K273" s="8">
        <v>3900</v>
      </c>
      <c r="L273" s="8">
        <v>0</v>
      </c>
      <c r="M273" s="24">
        <f t="shared" si="43"/>
        <v>3900</v>
      </c>
      <c r="N273" s="24">
        <v>0</v>
      </c>
      <c r="O273" s="240">
        <f t="shared" si="44"/>
        <v>0.00012136389869637124</v>
      </c>
    </row>
    <row r="274" spans="1:15" ht="14.25" customHeight="1">
      <c r="A274" s="23"/>
      <c r="B274" s="18" t="s">
        <v>301</v>
      </c>
      <c r="C274" s="8" t="s">
        <v>302</v>
      </c>
      <c r="D274" s="8"/>
      <c r="E274" s="8">
        <v>873</v>
      </c>
      <c r="F274" s="8">
        <v>1000</v>
      </c>
      <c r="G274" s="8">
        <v>0</v>
      </c>
      <c r="H274" s="8">
        <v>2600</v>
      </c>
      <c r="I274" s="8">
        <v>0</v>
      </c>
      <c r="J274" s="8">
        <v>0</v>
      </c>
      <c r="K274" s="8">
        <v>0</v>
      </c>
      <c r="L274" s="8">
        <v>0</v>
      </c>
      <c r="M274" s="24">
        <f t="shared" si="43"/>
        <v>0</v>
      </c>
      <c r="N274" s="24">
        <v>0</v>
      </c>
      <c r="O274" s="240">
        <f t="shared" si="44"/>
        <v>0</v>
      </c>
    </row>
    <row r="275" spans="1:15" ht="18.75" customHeight="1">
      <c r="A275" s="23"/>
      <c r="B275" s="18" t="s">
        <v>303</v>
      </c>
      <c r="C275" s="8" t="s">
        <v>304</v>
      </c>
      <c r="D275" s="8"/>
      <c r="E275" s="8">
        <v>126309</v>
      </c>
      <c r="F275" s="8">
        <v>0</v>
      </c>
      <c r="G275" s="8">
        <v>700</v>
      </c>
      <c r="H275" s="8">
        <v>60789</v>
      </c>
      <c r="I275" s="8">
        <v>0</v>
      </c>
      <c r="J275" s="8">
        <v>0</v>
      </c>
      <c r="K275" s="8">
        <v>68190</v>
      </c>
      <c r="L275" s="8">
        <v>0</v>
      </c>
      <c r="M275" s="24">
        <f t="shared" si="43"/>
        <v>68190</v>
      </c>
      <c r="N275" s="24">
        <v>0</v>
      </c>
      <c r="O275" s="240">
        <f t="shared" si="44"/>
        <v>0.0021220010902834757</v>
      </c>
    </row>
    <row r="276" spans="1:15" ht="18.75" customHeight="1">
      <c r="A276" s="23"/>
      <c r="B276" s="18" t="s">
        <v>319</v>
      </c>
      <c r="C276" s="8" t="s">
        <v>320</v>
      </c>
      <c r="D276" s="8"/>
      <c r="E276" s="8"/>
      <c r="F276" s="8"/>
      <c r="G276" s="8"/>
      <c r="H276" s="8">
        <v>1021</v>
      </c>
      <c r="I276" s="8">
        <v>0</v>
      </c>
      <c r="J276" s="8">
        <v>0</v>
      </c>
      <c r="K276" s="8">
        <v>1100</v>
      </c>
      <c r="L276" s="8">
        <v>0</v>
      </c>
      <c r="M276" s="24">
        <f t="shared" si="43"/>
        <v>1100</v>
      </c>
      <c r="N276" s="24">
        <v>0</v>
      </c>
      <c r="O276" s="240">
        <f t="shared" si="44"/>
        <v>3.423084322205342E-05</v>
      </c>
    </row>
    <row r="277" spans="1:15" ht="21.75" customHeight="1">
      <c r="A277" s="23"/>
      <c r="B277" s="18" t="s">
        <v>423</v>
      </c>
      <c r="C277" s="208" t="s">
        <v>434</v>
      </c>
      <c r="D277" s="8"/>
      <c r="E277" s="8">
        <f>E278+E279</f>
        <v>302972</v>
      </c>
      <c r="F277" s="8">
        <f>F278+F279</f>
        <v>0</v>
      </c>
      <c r="G277" s="8">
        <f>G278+G279</f>
        <v>93147</v>
      </c>
      <c r="H277" s="8">
        <f>H278+H279+H280</f>
        <v>273254</v>
      </c>
      <c r="I277" s="8">
        <v>0</v>
      </c>
      <c r="J277" s="8">
        <v>0</v>
      </c>
      <c r="K277" s="8">
        <f>K278+K279+K280</f>
        <v>239847</v>
      </c>
      <c r="L277" s="8">
        <v>0</v>
      </c>
      <c r="M277" s="24">
        <f t="shared" si="43"/>
        <v>239847</v>
      </c>
      <c r="N277" s="24">
        <v>0</v>
      </c>
      <c r="O277" s="240">
        <f t="shared" si="44"/>
        <v>0.00746378641298168</v>
      </c>
    </row>
    <row r="278" spans="1:15" ht="13.5" customHeight="1">
      <c r="A278" s="23"/>
      <c r="B278" s="18"/>
      <c r="C278" s="8" t="s">
        <v>435</v>
      </c>
      <c r="D278" s="8"/>
      <c r="E278" s="8">
        <v>246759</v>
      </c>
      <c r="F278" s="8">
        <v>0</v>
      </c>
      <c r="G278" s="8">
        <v>72750</v>
      </c>
      <c r="H278" s="8">
        <v>62124</v>
      </c>
      <c r="I278" s="8">
        <v>0</v>
      </c>
      <c r="J278" s="8">
        <v>0</v>
      </c>
      <c r="K278" s="8">
        <v>48687</v>
      </c>
      <c r="L278" s="8">
        <v>0</v>
      </c>
      <c r="M278" s="24">
        <f t="shared" si="43"/>
        <v>48687</v>
      </c>
      <c r="N278" s="24">
        <v>0</v>
      </c>
      <c r="O278" s="240">
        <f t="shared" si="44"/>
        <v>0.0015150882399564683</v>
      </c>
    </row>
    <row r="279" spans="1:15" ht="13.5" customHeight="1" hidden="1">
      <c r="A279" s="23"/>
      <c r="B279" s="8"/>
      <c r="C279" s="8" t="s">
        <v>436</v>
      </c>
      <c r="D279" s="8"/>
      <c r="E279" s="8">
        <v>56213</v>
      </c>
      <c r="F279" s="8">
        <v>0</v>
      </c>
      <c r="G279" s="8">
        <v>20397</v>
      </c>
      <c r="H279" s="8">
        <v>39687</v>
      </c>
      <c r="I279" s="8">
        <v>0</v>
      </c>
      <c r="J279" s="8">
        <v>0</v>
      </c>
      <c r="K279" s="8">
        <v>0</v>
      </c>
      <c r="L279" s="8">
        <v>0</v>
      </c>
      <c r="M279" s="24">
        <f t="shared" si="43"/>
        <v>0</v>
      </c>
      <c r="N279" s="24">
        <v>0</v>
      </c>
      <c r="O279" s="240">
        <f t="shared" si="44"/>
        <v>0</v>
      </c>
    </row>
    <row r="280" spans="1:15" ht="13.5" customHeight="1">
      <c r="A280" s="23"/>
      <c r="B280" s="8"/>
      <c r="C280" s="8" t="s">
        <v>437</v>
      </c>
      <c r="D280" s="8"/>
      <c r="E280" s="8"/>
      <c r="F280" s="8"/>
      <c r="G280" s="8"/>
      <c r="H280" s="8">
        <v>171443</v>
      </c>
      <c r="I280" s="8">
        <v>0</v>
      </c>
      <c r="J280" s="8">
        <v>0</v>
      </c>
      <c r="K280" s="8">
        <v>191160</v>
      </c>
      <c r="L280" s="8">
        <v>0</v>
      </c>
      <c r="M280" s="24">
        <f t="shared" si="43"/>
        <v>191160</v>
      </c>
      <c r="N280" s="24">
        <v>0</v>
      </c>
      <c r="O280" s="240">
        <f t="shared" si="44"/>
        <v>0.005948698173025212</v>
      </c>
    </row>
    <row r="281" spans="1:15" ht="18.75" customHeight="1">
      <c r="A281" s="26" t="s">
        <v>212</v>
      </c>
      <c r="B281" s="7"/>
      <c r="C281" s="7" t="s">
        <v>213</v>
      </c>
      <c r="D281" s="7"/>
      <c r="E281" s="7"/>
      <c r="F281" s="7"/>
      <c r="G281" s="7"/>
      <c r="H281" s="7" t="e">
        <f>H282+H284+H285+H287+H288+H289+H290+#REF!</f>
        <v>#REF!</v>
      </c>
      <c r="I281" s="7" t="e">
        <f>I282+I284+I285+I287+I288+I289+I290+#REF!</f>
        <v>#REF!</v>
      </c>
      <c r="J281" s="7" t="e">
        <f>J282+J284+J285+J287+J288+J289+J290+#REF!</f>
        <v>#REF!</v>
      </c>
      <c r="K281" s="7">
        <f>SUM(K282:K290)</f>
        <v>966176</v>
      </c>
      <c r="L281" s="7">
        <f>L282+L284+L285+L287+L288+L289+L290+L286+L283</f>
        <v>0</v>
      </c>
      <c r="M281" s="7">
        <f>M282+M284+M285+M287+M288+M289+M290+M286+M283</f>
        <v>966176</v>
      </c>
      <c r="N281" s="7">
        <f>N282+N284+N285+N287+N288+N289+N290+N286+N283</f>
        <v>0</v>
      </c>
      <c r="O281" s="240">
        <f t="shared" si="44"/>
        <v>0.030066381073555172</v>
      </c>
    </row>
    <row r="282" spans="1:15" ht="24.75" customHeight="1">
      <c r="A282" s="23"/>
      <c r="B282" s="8">
        <v>4010</v>
      </c>
      <c r="C282" s="11" t="s">
        <v>282</v>
      </c>
      <c r="D282" s="8"/>
      <c r="E282" s="8"/>
      <c r="F282" s="8"/>
      <c r="G282" s="8"/>
      <c r="H282" s="8">
        <v>322855</v>
      </c>
      <c r="I282" s="8">
        <v>0</v>
      </c>
      <c r="J282" s="8">
        <v>0</v>
      </c>
      <c r="K282" s="8">
        <v>686900</v>
      </c>
      <c r="L282" s="8">
        <v>0</v>
      </c>
      <c r="M282" s="24">
        <f>K282</f>
        <v>686900</v>
      </c>
      <c r="N282" s="24">
        <v>0</v>
      </c>
      <c r="O282" s="240">
        <f t="shared" si="44"/>
        <v>0.02137560564475318</v>
      </c>
    </row>
    <row r="283" spans="1:15" ht="19.5" customHeight="1">
      <c r="A283" s="23"/>
      <c r="B283" s="8">
        <v>4040</v>
      </c>
      <c r="C283" s="11" t="s">
        <v>286</v>
      </c>
      <c r="D283" s="8"/>
      <c r="E283" s="8"/>
      <c r="F283" s="8"/>
      <c r="G283" s="8"/>
      <c r="H283" s="8"/>
      <c r="I283" s="8"/>
      <c r="J283" s="8"/>
      <c r="K283" s="8">
        <v>54345</v>
      </c>
      <c r="L283" s="8">
        <v>0</v>
      </c>
      <c r="M283" s="24">
        <f>K283</f>
        <v>54345</v>
      </c>
      <c r="N283" s="24">
        <v>0</v>
      </c>
      <c r="O283" s="240">
        <f t="shared" si="44"/>
        <v>0.0016911592499113577</v>
      </c>
    </row>
    <row r="284" spans="1:15" ht="13.5" customHeight="1">
      <c r="A284" s="23"/>
      <c r="B284" s="8">
        <v>4110</v>
      </c>
      <c r="C284" s="11" t="s">
        <v>355</v>
      </c>
      <c r="D284" s="8"/>
      <c r="E284" s="8"/>
      <c r="F284" s="8"/>
      <c r="G284" s="8"/>
      <c r="H284" s="8">
        <v>58061</v>
      </c>
      <c r="I284" s="8">
        <v>0</v>
      </c>
      <c r="J284" s="8">
        <v>0</v>
      </c>
      <c r="K284" s="8">
        <v>130202</v>
      </c>
      <c r="L284" s="8">
        <v>0</v>
      </c>
      <c r="M284" s="24">
        <f aca="true" t="shared" si="45" ref="M284:M290">K284</f>
        <v>130202</v>
      </c>
      <c r="N284" s="24">
        <v>0</v>
      </c>
      <c r="O284" s="240">
        <f t="shared" si="44"/>
        <v>0.0040517493174525455</v>
      </c>
    </row>
    <row r="285" spans="1:15" ht="13.5" customHeight="1">
      <c r="A285" s="23"/>
      <c r="B285" s="8">
        <v>4120</v>
      </c>
      <c r="C285" s="11" t="s">
        <v>290</v>
      </c>
      <c r="D285" s="8"/>
      <c r="E285" s="8"/>
      <c r="F285" s="8"/>
      <c r="G285" s="8"/>
      <c r="H285" s="8">
        <v>7696</v>
      </c>
      <c r="I285" s="8">
        <v>0</v>
      </c>
      <c r="J285" s="8">
        <v>0</v>
      </c>
      <c r="K285" s="8">
        <v>17732</v>
      </c>
      <c r="L285" s="8">
        <v>0</v>
      </c>
      <c r="M285" s="24">
        <f t="shared" si="45"/>
        <v>17732</v>
      </c>
      <c r="N285" s="24">
        <v>0</v>
      </c>
      <c r="O285" s="240">
        <f t="shared" si="44"/>
        <v>0.0005518011927395012</v>
      </c>
    </row>
    <row r="286" spans="1:15" ht="15" customHeight="1" hidden="1">
      <c r="A286" s="23"/>
      <c r="B286" s="8">
        <v>3020</v>
      </c>
      <c r="C286" s="8" t="s">
        <v>431</v>
      </c>
      <c r="D286" s="8"/>
      <c r="E286" s="8"/>
      <c r="F286" s="8"/>
      <c r="G286" s="8"/>
      <c r="H286" s="8">
        <v>0</v>
      </c>
      <c r="I286" s="8">
        <v>0</v>
      </c>
      <c r="J286" s="8">
        <v>0</v>
      </c>
      <c r="K286" s="8">
        <v>0</v>
      </c>
      <c r="L286" s="8">
        <v>0</v>
      </c>
      <c r="M286" s="24">
        <f t="shared" si="45"/>
        <v>0</v>
      </c>
      <c r="N286" s="24">
        <v>0</v>
      </c>
      <c r="O286" s="240">
        <f t="shared" si="44"/>
        <v>0</v>
      </c>
    </row>
    <row r="287" spans="1:15" ht="13.5" customHeight="1">
      <c r="A287" s="23"/>
      <c r="B287" s="8">
        <v>4210</v>
      </c>
      <c r="C287" s="8" t="s">
        <v>318</v>
      </c>
      <c r="D287" s="8"/>
      <c r="E287" s="8"/>
      <c r="F287" s="8"/>
      <c r="G287" s="8"/>
      <c r="H287" s="8">
        <v>44979</v>
      </c>
      <c r="I287" s="8">
        <v>0</v>
      </c>
      <c r="J287" s="8">
        <v>0</v>
      </c>
      <c r="K287" s="8">
        <v>2040</v>
      </c>
      <c r="L287" s="8">
        <v>0</v>
      </c>
      <c r="M287" s="24">
        <f t="shared" si="45"/>
        <v>2040</v>
      </c>
      <c r="N287" s="24">
        <v>0</v>
      </c>
      <c r="O287" s="240">
        <f t="shared" si="44"/>
        <v>6.348265470271726E-05</v>
      </c>
    </row>
    <row r="288" spans="1:15" ht="13.5" customHeight="1">
      <c r="A288" s="23"/>
      <c r="B288" s="8">
        <v>4260</v>
      </c>
      <c r="C288" s="8" t="s">
        <v>383</v>
      </c>
      <c r="D288" s="8"/>
      <c r="E288" s="8"/>
      <c r="F288" s="8"/>
      <c r="G288" s="8"/>
      <c r="H288" s="8">
        <v>12000</v>
      </c>
      <c r="I288" s="8">
        <v>0</v>
      </c>
      <c r="J288" s="8">
        <v>0</v>
      </c>
      <c r="K288" s="8">
        <v>17200</v>
      </c>
      <c r="L288" s="8">
        <v>0</v>
      </c>
      <c r="M288" s="24">
        <f t="shared" si="45"/>
        <v>17200</v>
      </c>
      <c r="N288" s="24">
        <v>0</v>
      </c>
      <c r="O288" s="240">
        <f t="shared" si="44"/>
        <v>0.0005352459121993809</v>
      </c>
    </row>
    <row r="289" spans="1:15" ht="13.5" customHeight="1">
      <c r="A289" s="23"/>
      <c r="B289" s="8">
        <v>4300</v>
      </c>
      <c r="C289" s="8" t="s">
        <v>298</v>
      </c>
      <c r="D289" s="8"/>
      <c r="E289" s="8"/>
      <c r="F289" s="8"/>
      <c r="G289" s="8"/>
      <c r="H289" s="8">
        <v>4664</v>
      </c>
      <c r="I289" s="8">
        <v>0</v>
      </c>
      <c r="J289" s="8">
        <v>0</v>
      </c>
      <c r="K289" s="8">
        <v>10600</v>
      </c>
      <c r="L289" s="8">
        <v>0</v>
      </c>
      <c r="M289" s="24">
        <f t="shared" si="45"/>
        <v>10600</v>
      </c>
      <c r="N289" s="24">
        <v>0</v>
      </c>
      <c r="O289" s="240">
        <f t="shared" si="44"/>
        <v>0.0003298608528670603</v>
      </c>
    </row>
    <row r="290" spans="1:15" ht="13.5" customHeight="1">
      <c r="A290" s="23"/>
      <c r="B290" s="8">
        <v>4440</v>
      </c>
      <c r="C290" s="8" t="s">
        <v>304</v>
      </c>
      <c r="D290" s="8"/>
      <c r="E290" s="8"/>
      <c r="F290" s="8"/>
      <c r="G290" s="8"/>
      <c r="H290" s="8">
        <v>15378</v>
      </c>
      <c r="I290" s="8">
        <v>0</v>
      </c>
      <c r="J290" s="8">
        <v>0</v>
      </c>
      <c r="K290" s="8">
        <v>47157</v>
      </c>
      <c r="L290" s="8">
        <v>0</v>
      </c>
      <c r="M290" s="24">
        <f t="shared" si="45"/>
        <v>47157</v>
      </c>
      <c r="N290" s="24">
        <v>0</v>
      </c>
      <c r="O290" s="240">
        <f t="shared" si="44"/>
        <v>0.0014674762489294303</v>
      </c>
    </row>
    <row r="291" spans="1:15" ht="18.75" customHeight="1">
      <c r="A291" s="26" t="s">
        <v>439</v>
      </c>
      <c r="B291" s="27"/>
      <c r="C291" s="7" t="s">
        <v>440</v>
      </c>
      <c r="D291" s="7">
        <f>D293+D294+D295+D292</f>
        <v>1881934</v>
      </c>
      <c r="E291" s="7">
        <f>E293+E294+E295+E296+E297+E292+E300+E301+E302+E303+E305+E307+E309+E310+E319+E318</f>
        <v>4748335</v>
      </c>
      <c r="F291" s="7">
        <f>F293+F294+F295+F296+F297+F292+F300+F301+F302+F303+F305+F307+F309+F310+F319+F318</f>
        <v>94490</v>
      </c>
      <c r="G291" s="7">
        <f>G293+G294+G295+G296+G297+G292+G300+G301+G302+G303+G305+G307+G309+G310+G319+G318</f>
        <v>82430</v>
      </c>
      <c r="H291" s="7">
        <f>H293+H294+H295+H296+H297+H292+H300+H301+H302+H303+H305+H307+H309+H310+H319+H318+H298+H316+H343+H344</f>
        <v>6452073</v>
      </c>
      <c r="I291" s="7">
        <f>I293+I294+I295+I296+I297+I292+I300+I301+I302+I303+I305+I307+I309+I310+I319+I318+I298+I316+I343+I344</f>
        <v>0</v>
      </c>
      <c r="J291" s="7">
        <f>J293+J294+J295+J296+J297+J292+J300+J301+J302+J303+J305+J307+J309+J310+J319+J318+J298+J316+J343+J344</f>
        <v>0</v>
      </c>
      <c r="K291" s="7">
        <f>SUM(K292:K319)</f>
        <v>4532491</v>
      </c>
      <c r="L291" s="7">
        <f>SUM(L292:L319)</f>
        <v>0</v>
      </c>
      <c r="M291" s="7">
        <f>SUM(M292:M319)</f>
        <v>4532491</v>
      </c>
      <c r="N291" s="7">
        <f>N293+N294+N295+N296+N297+N292+N299+N300+N301+N302+N303+N305+N306+N307+N308+N309+N310+N317+N319+N318+N298+N316+N343+N344</f>
        <v>0</v>
      </c>
      <c r="O291" s="240">
        <f t="shared" si="44"/>
        <v>0.14104635347851652</v>
      </c>
    </row>
    <row r="292" spans="1:15" ht="17.25" customHeight="1">
      <c r="A292" s="23"/>
      <c r="B292" s="18" t="s">
        <v>269</v>
      </c>
      <c r="C292" s="11" t="s">
        <v>441</v>
      </c>
      <c r="D292" s="8">
        <v>262062</v>
      </c>
      <c r="E292" s="8">
        <v>7439</v>
      </c>
      <c r="F292" s="8">
        <v>0</v>
      </c>
      <c r="G292" s="8">
        <v>0</v>
      </c>
      <c r="H292" s="8">
        <v>4872</v>
      </c>
      <c r="I292" s="8">
        <v>0</v>
      </c>
      <c r="J292" s="8">
        <v>0</v>
      </c>
      <c r="K292" s="8">
        <v>0</v>
      </c>
      <c r="L292" s="8">
        <v>0</v>
      </c>
      <c r="M292" s="24">
        <f>K292</f>
        <v>0</v>
      </c>
      <c r="N292" s="24">
        <v>0</v>
      </c>
      <c r="O292" s="240">
        <f t="shared" si="44"/>
        <v>0</v>
      </c>
    </row>
    <row r="293" spans="1:15" ht="24" customHeight="1">
      <c r="A293" s="23"/>
      <c r="B293" s="18" t="s">
        <v>281</v>
      </c>
      <c r="C293" s="11" t="s">
        <v>282</v>
      </c>
      <c r="D293" s="8">
        <v>1306363</v>
      </c>
      <c r="E293" s="8">
        <v>2620120</v>
      </c>
      <c r="F293" s="8">
        <v>76198</v>
      </c>
      <c r="G293" s="8">
        <v>0</v>
      </c>
      <c r="H293" s="8">
        <v>2507234</v>
      </c>
      <c r="I293" s="8">
        <v>0</v>
      </c>
      <c r="J293" s="8">
        <v>0</v>
      </c>
      <c r="K293" s="8">
        <v>2696867</v>
      </c>
      <c r="L293" s="8">
        <v>0</v>
      </c>
      <c r="M293" s="24">
        <f>K293</f>
        <v>2696867</v>
      </c>
      <c r="N293" s="24">
        <v>0</v>
      </c>
      <c r="O293" s="240">
        <f t="shared" si="44"/>
        <v>0.08392366497066324</v>
      </c>
    </row>
    <row r="294" spans="1:15" ht="15" customHeight="1">
      <c r="A294" s="23"/>
      <c r="B294" s="18" t="s">
        <v>285</v>
      </c>
      <c r="C294" s="11" t="s">
        <v>286</v>
      </c>
      <c r="D294" s="8">
        <v>74072</v>
      </c>
      <c r="E294" s="8">
        <v>90144</v>
      </c>
      <c r="F294" s="8">
        <v>0</v>
      </c>
      <c r="G294" s="8">
        <v>0</v>
      </c>
      <c r="H294" s="8">
        <v>229094</v>
      </c>
      <c r="I294" s="8">
        <v>0</v>
      </c>
      <c r="J294" s="8">
        <v>0</v>
      </c>
      <c r="K294" s="8">
        <v>229366</v>
      </c>
      <c r="L294" s="8">
        <v>0</v>
      </c>
      <c r="M294" s="24">
        <f aca="true" t="shared" si="46" ref="M294:M323">K294</f>
        <v>229366</v>
      </c>
      <c r="N294" s="24">
        <v>0</v>
      </c>
      <c r="O294" s="240">
        <f t="shared" si="44"/>
        <v>0.0071376287149722785</v>
      </c>
    </row>
    <row r="295" spans="1:15" ht="12.75" customHeight="1">
      <c r="A295" s="23"/>
      <c r="B295" s="25" t="s">
        <v>338</v>
      </c>
      <c r="C295" s="11" t="s">
        <v>355</v>
      </c>
      <c r="D295" s="8">
        <v>239437</v>
      </c>
      <c r="E295" s="8">
        <v>480155</v>
      </c>
      <c r="F295" s="8">
        <v>6005</v>
      </c>
      <c r="G295" s="8">
        <v>0</v>
      </c>
      <c r="H295" s="8">
        <v>471989</v>
      </c>
      <c r="I295" s="8">
        <v>0</v>
      </c>
      <c r="J295" s="8">
        <v>0</v>
      </c>
      <c r="K295" s="8">
        <v>510820</v>
      </c>
      <c r="L295" s="8">
        <v>0</v>
      </c>
      <c r="M295" s="24">
        <f t="shared" si="46"/>
        <v>510820</v>
      </c>
      <c r="N295" s="24">
        <v>0</v>
      </c>
      <c r="O295" s="240">
        <f t="shared" si="44"/>
        <v>0.015896181213353937</v>
      </c>
    </row>
    <row r="296" spans="1:15" ht="15" customHeight="1">
      <c r="A296" s="23"/>
      <c r="B296" s="25" t="s">
        <v>289</v>
      </c>
      <c r="C296" s="11" t="s">
        <v>290</v>
      </c>
      <c r="D296" s="8"/>
      <c r="E296" s="8">
        <v>62713</v>
      </c>
      <c r="F296" s="8">
        <v>822</v>
      </c>
      <c r="G296" s="8">
        <v>0</v>
      </c>
      <c r="H296" s="8">
        <v>64920</v>
      </c>
      <c r="I296" s="8">
        <v>0</v>
      </c>
      <c r="J296" s="8">
        <v>0</v>
      </c>
      <c r="K296" s="8">
        <v>69612</v>
      </c>
      <c r="L296" s="8">
        <v>0</v>
      </c>
      <c r="M296" s="24">
        <f t="shared" si="46"/>
        <v>69612</v>
      </c>
      <c r="N296" s="24">
        <v>0</v>
      </c>
      <c r="O296" s="240">
        <f aca="true" t="shared" si="47" ref="O296:O308">K296/$K$616</f>
        <v>0.0021662522348850754</v>
      </c>
    </row>
    <row r="297" spans="1:15" ht="3" customHeight="1" hidden="1">
      <c r="A297" s="23"/>
      <c r="B297" s="25"/>
      <c r="C297" s="11" t="s">
        <v>329</v>
      </c>
      <c r="D297" s="8"/>
      <c r="E297" s="8">
        <v>2580</v>
      </c>
      <c r="F297" s="8">
        <v>0</v>
      </c>
      <c r="G297" s="8">
        <v>150</v>
      </c>
      <c r="H297" s="8"/>
      <c r="I297" s="8">
        <v>0</v>
      </c>
      <c r="J297" s="8">
        <v>0</v>
      </c>
      <c r="K297" s="8"/>
      <c r="L297" s="8">
        <v>0</v>
      </c>
      <c r="M297" s="24">
        <f t="shared" si="46"/>
        <v>0</v>
      </c>
      <c r="N297" s="24">
        <v>0</v>
      </c>
      <c r="O297" s="240">
        <f t="shared" si="47"/>
        <v>0</v>
      </c>
    </row>
    <row r="298" spans="1:15" ht="14.25" customHeight="1">
      <c r="A298" s="23"/>
      <c r="B298" s="18" t="s">
        <v>432</v>
      </c>
      <c r="C298" s="11" t="s">
        <v>442</v>
      </c>
      <c r="D298" s="8"/>
      <c r="E298" s="8"/>
      <c r="F298" s="8"/>
      <c r="G298" s="8"/>
      <c r="H298" s="8">
        <v>8642</v>
      </c>
      <c r="I298" s="8">
        <v>0</v>
      </c>
      <c r="J298" s="8">
        <v>0</v>
      </c>
      <c r="K298" s="8">
        <v>6100</v>
      </c>
      <c r="L298" s="8">
        <v>0</v>
      </c>
      <c r="M298" s="24">
        <f t="shared" si="46"/>
        <v>6100</v>
      </c>
      <c r="N298" s="24">
        <v>0</v>
      </c>
      <c r="O298" s="240">
        <f t="shared" si="47"/>
        <v>0.00018982558514047808</v>
      </c>
    </row>
    <row r="299" spans="1:15" ht="14.25" customHeight="1">
      <c r="A299" s="23"/>
      <c r="B299" s="18" t="s">
        <v>37</v>
      </c>
      <c r="C299" s="11" t="s">
        <v>52</v>
      </c>
      <c r="D299" s="8"/>
      <c r="E299" s="8"/>
      <c r="F299" s="8"/>
      <c r="G299" s="8"/>
      <c r="H299" s="8"/>
      <c r="I299" s="8"/>
      <c r="J299" s="8"/>
      <c r="K299" s="8">
        <v>9500</v>
      </c>
      <c r="L299" s="8">
        <v>0</v>
      </c>
      <c r="M299" s="24">
        <f>K299</f>
        <v>9500</v>
      </c>
      <c r="N299" s="24">
        <v>0</v>
      </c>
      <c r="O299" s="240">
        <f t="shared" si="47"/>
        <v>0.00029563000964500687</v>
      </c>
    </row>
    <row r="300" spans="1:15" ht="15" customHeight="1">
      <c r="A300" s="23"/>
      <c r="B300" s="18" t="s">
        <v>291</v>
      </c>
      <c r="C300" s="8" t="s">
        <v>318</v>
      </c>
      <c r="D300" s="8"/>
      <c r="E300" s="8">
        <v>262668</v>
      </c>
      <c r="F300" s="8">
        <v>7750</v>
      </c>
      <c r="G300" s="8">
        <v>0</v>
      </c>
      <c r="H300" s="8">
        <v>374867</v>
      </c>
      <c r="I300" s="8">
        <v>0</v>
      </c>
      <c r="J300" s="8">
        <v>0</v>
      </c>
      <c r="K300" s="8">
        <v>539362</v>
      </c>
      <c r="L300" s="8">
        <v>0</v>
      </c>
      <c r="M300" s="24">
        <f t="shared" si="46"/>
        <v>539362</v>
      </c>
      <c r="N300" s="24">
        <v>0</v>
      </c>
      <c r="O300" s="240">
        <f t="shared" si="47"/>
        <v>0.016784378238121074</v>
      </c>
    </row>
    <row r="301" spans="1:15" ht="15" customHeight="1">
      <c r="A301" s="23"/>
      <c r="B301" s="18" t="s">
        <v>420</v>
      </c>
      <c r="C301" s="8" t="s">
        <v>421</v>
      </c>
      <c r="D301" s="8"/>
      <c r="E301" s="8">
        <v>5206</v>
      </c>
      <c r="F301" s="8">
        <v>0</v>
      </c>
      <c r="G301" s="8">
        <v>1000</v>
      </c>
      <c r="H301" s="8">
        <v>6041</v>
      </c>
      <c r="I301" s="8">
        <v>0</v>
      </c>
      <c r="J301" s="8">
        <v>0</v>
      </c>
      <c r="K301" s="8">
        <v>8200</v>
      </c>
      <c r="L301" s="8">
        <v>0</v>
      </c>
      <c r="M301" s="24">
        <f t="shared" si="46"/>
        <v>8200</v>
      </c>
      <c r="N301" s="24">
        <v>0</v>
      </c>
      <c r="O301" s="240">
        <f t="shared" si="47"/>
        <v>0.0002551753767462164</v>
      </c>
    </row>
    <row r="302" spans="1:15" ht="14.25" customHeight="1">
      <c r="A302" s="23"/>
      <c r="B302" s="18" t="s">
        <v>293</v>
      </c>
      <c r="C302" s="8" t="s">
        <v>383</v>
      </c>
      <c r="D302" s="8"/>
      <c r="E302" s="8">
        <v>47707</v>
      </c>
      <c r="F302" s="8">
        <v>0</v>
      </c>
      <c r="G302" s="8">
        <v>3000</v>
      </c>
      <c r="H302" s="8">
        <v>88260</v>
      </c>
      <c r="I302" s="8">
        <v>0</v>
      </c>
      <c r="J302" s="8">
        <v>0</v>
      </c>
      <c r="K302" s="8">
        <v>65278</v>
      </c>
      <c r="L302" s="8">
        <v>0</v>
      </c>
      <c r="M302" s="24">
        <f t="shared" si="46"/>
        <v>65278</v>
      </c>
      <c r="N302" s="24">
        <v>0</v>
      </c>
      <c r="O302" s="240">
        <f t="shared" si="47"/>
        <v>0.002031382712590185</v>
      </c>
    </row>
    <row r="303" spans="1:15" ht="14.25" customHeight="1">
      <c r="A303" s="23"/>
      <c r="B303" s="18" t="s">
        <v>295</v>
      </c>
      <c r="C303" s="8" t="s">
        <v>384</v>
      </c>
      <c r="D303" s="8"/>
      <c r="E303" s="8">
        <v>55847</v>
      </c>
      <c r="F303" s="8">
        <v>0</v>
      </c>
      <c r="G303" s="8">
        <v>765</v>
      </c>
      <c r="H303" s="8">
        <v>241716</v>
      </c>
      <c r="I303" s="8">
        <v>0</v>
      </c>
      <c r="J303" s="8">
        <v>0</v>
      </c>
      <c r="K303" s="8">
        <v>0</v>
      </c>
      <c r="L303" s="8">
        <v>0</v>
      </c>
      <c r="M303" s="24">
        <f t="shared" si="46"/>
        <v>0</v>
      </c>
      <c r="N303" s="24">
        <v>0</v>
      </c>
      <c r="O303" s="240">
        <f t="shared" si="47"/>
        <v>0</v>
      </c>
    </row>
    <row r="304" spans="1:15" ht="14.25" customHeight="1">
      <c r="A304" s="23"/>
      <c r="B304" s="18" t="s">
        <v>362</v>
      </c>
      <c r="C304" s="8" t="s">
        <v>363</v>
      </c>
      <c r="D304" s="8"/>
      <c r="E304" s="8"/>
      <c r="F304" s="8"/>
      <c r="G304" s="8"/>
      <c r="H304" s="8"/>
      <c r="I304" s="8"/>
      <c r="J304" s="8"/>
      <c r="K304" s="8">
        <v>2625</v>
      </c>
      <c r="L304" s="8"/>
      <c r="M304" s="24">
        <f t="shared" si="46"/>
        <v>2625</v>
      </c>
      <c r="N304" s="24"/>
      <c r="O304" s="240">
        <f t="shared" si="47"/>
        <v>8.168723950717294E-05</v>
      </c>
    </row>
    <row r="305" spans="1:15" ht="14.25" customHeight="1">
      <c r="A305" s="23"/>
      <c r="B305" s="18" t="s">
        <v>297</v>
      </c>
      <c r="C305" s="8" t="s">
        <v>385</v>
      </c>
      <c r="D305" s="8"/>
      <c r="E305" s="8">
        <v>36614</v>
      </c>
      <c r="F305" s="8">
        <v>3715</v>
      </c>
      <c r="G305" s="8">
        <v>0</v>
      </c>
      <c r="H305" s="8">
        <v>96150</v>
      </c>
      <c r="I305" s="8">
        <v>0</v>
      </c>
      <c r="J305" s="8">
        <v>0</v>
      </c>
      <c r="K305" s="8">
        <v>110125</v>
      </c>
      <c r="L305" s="8">
        <v>0</v>
      </c>
      <c r="M305" s="24">
        <f t="shared" si="46"/>
        <v>110125</v>
      </c>
      <c r="N305" s="24">
        <v>0</v>
      </c>
      <c r="O305" s="240">
        <f t="shared" si="47"/>
        <v>0.003426974190753303</v>
      </c>
    </row>
    <row r="306" spans="1:15" ht="14.25" customHeight="1">
      <c r="A306" s="23"/>
      <c r="B306" s="18" t="s">
        <v>53</v>
      </c>
      <c r="C306" s="8" t="s">
        <v>54</v>
      </c>
      <c r="D306" s="8"/>
      <c r="E306" s="8"/>
      <c r="F306" s="8"/>
      <c r="G306" s="8"/>
      <c r="H306" s="8"/>
      <c r="I306" s="8"/>
      <c r="J306" s="8"/>
      <c r="K306" s="8">
        <v>5280</v>
      </c>
      <c r="L306" s="8">
        <v>0</v>
      </c>
      <c r="M306" s="24">
        <f>K306</f>
        <v>5280</v>
      </c>
      <c r="N306" s="24">
        <v>0</v>
      </c>
      <c r="O306" s="240">
        <f t="shared" si="47"/>
        <v>0.00016430804746585644</v>
      </c>
    </row>
    <row r="307" spans="1:15" ht="15" customHeight="1">
      <c r="A307" s="23"/>
      <c r="B307" s="18" t="s">
        <v>299</v>
      </c>
      <c r="C307" s="8" t="s">
        <v>300</v>
      </c>
      <c r="D307" s="8"/>
      <c r="E307" s="8">
        <v>3411</v>
      </c>
      <c r="F307" s="8">
        <v>0</v>
      </c>
      <c r="G307" s="8">
        <v>1800</v>
      </c>
      <c r="H307" s="8">
        <v>3500</v>
      </c>
      <c r="I307" s="8">
        <v>0</v>
      </c>
      <c r="J307" s="8">
        <v>0</v>
      </c>
      <c r="K307" s="8">
        <v>5500</v>
      </c>
      <c r="L307" s="8">
        <v>0</v>
      </c>
      <c r="M307" s="24">
        <f t="shared" si="46"/>
        <v>5500</v>
      </c>
      <c r="N307" s="24">
        <v>0</v>
      </c>
      <c r="O307" s="240">
        <f t="shared" si="47"/>
        <v>0.00017115421611026713</v>
      </c>
    </row>
    <row r="308" spans="1:15" ht="15" customHeight="1">
      <c r="A308" s="23"/>
      <c r="B308" s="18" t="s">
        <v>218</v>
      </c>
      <c r="C308" s="8" t="s">
        <v>219</v>
      </c>
      <c r="D308" s="8"/>
      <c r="E308" s="8"/>
      <c r="F308" s="8"/>
      <c r="G308" s="8"/>
      <c r="H308" s="8"/>
      <c r="I308" s="8"/>
      <c r="J308" s="8"/>
      <c r="K308" s="8">
        <v>500</v>
      </c>
      <c r="L308" s="8">
        <v>0</v>
      </c>
      <c r="M308" s="24">
        <f>K308</f>
        <v>500</v>
      </c>
      <c r="N308" s="24">
        <v>0</v>
      </c>
      <c r="O308" s="240">
        <f t="shared" si="47"/>
        <v>1.5559474191842467E-05</v>
      </c>
    </row>
    <row r="309" spans="1:15" ht="12" customHeight="1">
      <c r="A309" s="23"/>
      <c r="B309" s="18" t="s">
        <v>301</v>
      </c>
      <c r="C309" s="8" t="s">
        <v>302</v>
      </c>
      <c r="D309" s="8"/>
      <c r="E309" s="8">
        <v>5700</v>
      </c>
      <c r="F309" s="8">
        <v>0</v>
      </c>
      <c r="G309" s="8">
        <v>0</v>
      </c>
      <c r="H309" s="20">
        <v>5900</v>
      </c>
      <c r="I309" s="8">
        <v>0</v>
      </c>
      <c r="J309" s="8">
        <v>0</v>
      </c>
      <c r="K309" s="8">
        <v>0</v>
      </c>
      <c r="L309" s="8">
        <v>0</v>
      </c>
      <c r="M309" s="24">
        <f t="shared" si="46"/>
        <v>0</v>
      </c>
      <c r="N309" s="24">
        <v>0</v>
      </c>
      <c r="O309" s="240">
        <f aca="true" t="shared" si="48" ref="O309:O316">K309/$K$616</f>
        <v>0</v>
      </c>
    </row>
    <row r="310" spans="1:15" ht="12.75" customHeight="1">
      <c r="A310" s="23"/>
      <c r="B310" s="18" t="s">
        <v>303</v>
      </c>
      <c r="C310" s="8" t="s">
        <v>304</v>
      </c>
      <c r="D310" s="8"/>
      <c r="E310" s="8">
        <v>156652</v>
      </c>
      <c r="F310" s="8">
        <v>0</v>
      </c>
      <c r="G310" s="8">
        <v>1550</v>
      </c>
      <c r="H310" s="8">
        <v>123022</v>
      </c>
      <c r="I310" s="8">
        <v>0</v>
      </c>
      <c r="J310" s="8">
        <v>0</v>
      </c>
      <c r="K310" s="8">
        <v>165996</v>
      </c>
      <c r="L310" s="8">
        <v>0</v>
      </c>
      <c r="M310" s="24">
        <f t="shared" si="46"/>
        <v>165996</v>
      </c>
      <c r="N310" s="24">
        <v>0</v>
      </c>
      <c r="O310" s="240">
        <f t="shared" si="48"/>
        <v>0.005165620955898164</v>
      </c>
    </row>
    <row r="311" spans="1:15" ht="18" customHeight="1" hidden="1">
      <c r="A311" s="23"/>
      <c r="B311" s="18"/>
      <c r="C311" s="8"/>
      <c r="D311" s="8"/>
      <c r="E311" s="8"/>
      <c r="F311" s="8"/>
      <c r="G311" s="8"/>
      <c r="H311" s="8"/>
      <c r="I311" s="8">
        <v>0</v>
      </c>
      <c r="J311" s="8">
        <v>0</v>
      </c>
      <c r="K311" s="8"/>
      <c r="L311" s="8">
        <v>0</v>
      </c>
      <c r="M311" s="24">
        <f t="shared" si="46"/>
        <v>0</v>
      </c>
      <c r="N311" s="24">
        <v>0</v>
      </c>
      <c r="O311" s="240">
        <f t="shared" si="48"/>
        <v>0</v>
      </c>
    </row>
    <row r="312" spans="1:15" ht="15.75" customHeight="1" hidden="1">
      <c r="A312" s="23"/>
      <c r="B312" s="18"/>
      <c r="C312" s="8"/>
      <c r="D312" s="8"/>
      <c r="E312" s="8"/>
      <c r="F312" s="8"/>
      <c r="G312" s="8"/>
      <c r="H312" s="8"/>
      <c r="I312" s="8">
        <v>0</v>
      </c>
      <c r="J312" s="8">
        <v>0</v>
      </c>
      <c r="K312" s="8"/>
      <c r="L312" s="8">
        <v>0</v>
      </c>
      <c r="M312" s="24">
        <f t="shared" si="46"/>
        <v>0</v>
      </c>
      <c r="N312" s="24">
        <v>0</v>
      </c>
      <c r="O312" s="240">
        <f t="shared" si="48"/>
        <v>0</v>
      </c>
    </row>
    <row r="313" spans="1:15" ht="15.75" customHeight="1" hidden="1">
      <c r="A313" s="23"/>
      <c r="B313" s="18"/>
      <c r="C313" s="8"/>
      <c r="D313" s="8"/>
      <c r="E313" s="8"/>
      <c r="F313" s="8"/>
      <c r="G313" s="8"/>
      <c r="H313" s="8"/>
      <c r="I313" s="8">
        <v>0</v>
      </c>
      <c r="J313" s="8">
        <v>0</v>
      </c>
      <c r="K313" s="8"/>
      <c r="L313" s="8">
        <v>0</v>
      </c>
      <c r="M313" s="24">
        <f t="shared" si="46"/>
        <v>0</v>
      </c>
      <c r="N313" s="24">
        <v>0</v>
      </c>
      <c r="O313" s="240">
        <f t="shared" si="48"/>
        <v>0</v>
      </c>
    </row>
    <row r="314" spans="1:15" ht="15.75" customHeight="1" hidden="1">
      <c r="A314" s="23"/>
      <c r="B314" s="18"/>
      <c r="C314" s="8"/>
      <c r="D314" s="8"/>
      <c r="E314" s="8"/>
      <c r="F314" s="8"/>
      <c r="G314" s="8"/>
      <c r="H314" s="8"/>
      <c r="I314" s="8">
        <v>0</v>
      </c>
      <c r="J314" s="8">
        <v>0</v>
      </c>
      <c r="K314" s="8"/>
      <c r="L314" s="8">
        <v>0</v>
      </c>
      <c r="M314" s="24">
        <f t="shared" si="46"/>
        <v>0</v>
      </c>
      <c r="N314" s="24">
        <v>0</v>
      </c>
      <c r="O314" s="240">
        <f t="shared" si="48"/>
        <v>0</v>
      </c>
    </row>
    <row r="315" spans="1:15" ht="16.5" customHeight="1" hidden="1">
      <c r="A315" s="23"/>
      <c r="B315" s="18"/>
      <c r="C315" s="8"/>
      <c r="D315" s="8"/>
      <c r="E315" s="8"/>
      <c r="F315" s="8"/>
      <c r="G315" s="8"/>
      <c r="H315" s="8"/>
      <c r="I315" s="8">
        <v>0</v>
      </c>
      <c r="J315" s="8">
        <v>0</v>
      </c>
      <c r="K315" s="8"/>
      <c r="L315" s="8">
        <v>0</v>
      </c>
      <c r="M315" s="24">
        <f t="shared" si="46"/>
        <v>0</v>
      </c>
      <c r="N315" s="24">
        <v>0</v>
      </c>
      <c r="O315" s="240">
        <f t="shared" si="48"/>
        <v>0</v>
      </c>
    </row>
    <row r="316" spans="1:15" ht="13.5" customHeight="1">
      <c r="A316" s="23"/>
      <c r="B316" s="18" t="s">
        <v>319</v>
      </c>
      <c r="C316" s="8" t="s">
        <v>320</v>
      </c>
      <c r="D316" s="8"/>
      <c r="E316" s="8"/>
      <c r="F316" s="8"/>
      <c r="G316" s="8"/>
      <c r="H316" s="8">
        <v>0</v>
      </c>
      <c r="I316" s="8">
        <v>0</v>
      </c>
      <c r="J316" s="8">
        <v>0</v>
      </c>
      <c r="K316" s="8">
        <v>150</v>
      </c>
      <c r="L316" s="8">
        <v>0</v>
      </c>
      <c r="M316" s="24">
        <f t="shared" si="46"/>
        <v>150</v>
      </c>
      <c r="N316" s="24">
        <v>0</v>
      </c>
      <c r="O316" s="240">
        <f t="shared" si="48"/>
        <v>4.66784225755274E-06</v>
      </c>
    </row>
    <row r="317" spans="1:15" ht="13.5" customHeight="1">
      <c r="A317" s="23"/>
      <c r="B317" s="18" t="s">
        <v>80</v>
      </c>
      <c r="C317" s="8" t="s">
        <v>616</v>
      </c>
      <c r="D317" s="8"/>
      <c r="E317" s="8"/>
      <c r="F317" s="8"/>
      <c r="G317" s="8"/>
      <c r="H317" s="8"/>
      <c r="I317" s="8"/>
      <c r="J317" s="8"/>
      <c r="K317" s="8">
        <v>3710</v>
      </c>
      <c r="L317" s="8">
        <v>0</v>
      </c>
      <c r="M317" s="24">
        <f>K317</f>
        <v>3710</v>
      </c>
      <c r="N317" s="24">
        <v>0</v>
      </c>
      <c r="O317" s="240">
        <f aca="true" t="shared" si="49" ref="O317:O348">K317/$K$616</f>
        <v>0.0001154512985034711</v>
      </c>
    </row>
    <row r="318" spans="1:15" ht="15" customHeight="1">
      <c r="A318" s="23"/>
      <c r="B318" s="18" t="s">
        <v>321</v>
      </c>
      <c r="C318" s="11" t="s">
        <v>438</v>
      </c>
      <c r="D318" s="8"/>
      <c r="E318" s="8">
        <v>654061</v>
      </c>
      <c r="F318" s="8">
        <v>0</v>
      </c>
      <c r="G318" s="8">
        <v>0</v>
      </c>
      <c r="H318" s="8">
        <v>1886648</v>
      </c>
      <c r="I318" s="8">
        <v>0</v>
      </c>
      <c r="J318" s="8">
        <v>0</v>
      </c>
      <c r="K318" s="8">
        <v>0</v>
      </c>
      <c r="L318" s="8">
        <v>0</v>
      </c>
      <c r="M318" s="24">
        <f>K318</f>
        <v>0</v>
      </c>
      <c r="N318" s="24">
        <v>0</v>
      </c>
      <c r="O318" s="240">
        <f t="shared" si="49"/>
        <v>0</v>
      </c>
    </row>
    <row r="319" spans="1:15" ht="14.25" customHeight="1">
      <c r="A319" s="23"/>
      <c r="B319" s="18" t="s">
        <v>423</v>
      </c>
      <c r="C319" s="208" t="s">
        <v>443</v>
      </c>
      <c r="D319" s="8">
        <v>0</v>
      </c>
      <c r="E319" s="8">
        <v>257318</v>
      </c>
      <c r="F319" s="8">
        <v>0</v>
      </c>
      <c r="G319" s="8">
        <v>74165</v>
      </c>
      <c r="H319" s="8">
        <f>H320+H321+H322</f>
        <v>339218</v>
      </c>
      <c r="I319" s="8">
        <v>0</v>
      </c>
      <c r="J319" s="8">
        <v>0</v>
      </c>
      <c r="K319" s="8">
        <f>K320+K321+K322</f>
        <v>103500</v>
      </c>
      <c r="L319" s="8">
        <f>L320+L321+L322</f>
        <v>0</v>
      </c>
      <c r="M319" s="24">
        <f t="shared" si="46"/>
        <v>103500</v>
      </c>
      <c r="N319" s="8">
        <f>N320+N321+N322</f>
        <v>0</v>
      </c>
      <c r="O319" s="240">
        <f t="shared" si="49"/>
        <v>0.0032208111577113905</v>
      </c>
    </row>
    <row r="320" spans="1:15" ht="13.5" customHeight="1">
      <c r="A320" s="23"/>
      <c r="B320" s="18"/>
      <c r="C320" s="459" t="s">
        <v>435</v>
      </c>
      <c r="D320" s="8"/>
      <c r="E320" s="8"/>
      <c r="F320" s="8"/>
      <c r="G320" s="8"/>
      <c r="H320" s="8">
        <v>227897</v>
      </c>
      <c r="I320" s="8">
        <v>0</v>
      </c>
      <c r="J320" s="8">
        <v>0</v>
      </c>
      <c r="K320" s="8">
        <v>70380</v>
      </c>
      <c r="L320" s="8">
        <v>0</v>
      </c>
      <c r="M320" s="24">
        <f t="shared" si="46"/>
        <v>70380</v>
      </c>
      <c r="N320" s="24">
        <v>0</v>
      </c>
      <c r="O320" s="240">
        <f t="shared" si="49"/>
        <v>0.0021901515872437454</v>
      </c>
    </row>
    <row r="321" spans="1:15" ht="14.25" customHeight="1">
      <c r="A321" s="23"/>
      <c r="B321" s="18"/>
      <c r="C321" s="459" t="s">
        <v>437</v>
      </c>
      <c r="D321" s="8"/>
      <c r="E321" s="8"/>
      <c r="F321" s="8"/>
      <c r="G321" s="8"/>
      <c r="H321" s="8">
        <v>98014</v>
      </c>
      <c r="I321" s="8">
        <v>0</v>
      </c>
      <c r="J321" s="8">
        <v>0</v>
      </c>
      <c r="K321" s="8">
        <v>33120</v>
      </c>
      <c r="L321" s="8">
        <v>0</v>
      </c>
      <c r="M321" s="24">
        <f t="shared" si="46"/>
        <v>33120</v>
      </c>
      <c r="N321" s="24">
        <v>0</v>
      </c>
      <c r="O321" s="240">
        <f t="shared" si="49"/>
        <v>0.0010306595704676449</v>
      </c>
    </row>
    <row r="322" spans="1:15" ht="13.5" customHeight="1" hidden="1">
      <c r="A322" s="23"/>
      <c r="B322" s="18"/>
      <c r="C322" s="8" t="s">
        <v>436</v>
      </c>
      <c r="D322" s="8"/>
      <c r="E322" s="8"/>
      <c r="F322" s="8"/>
      <c r="G322" s="8"/>
      <c r="H322" s="8">
        <v>13307</v>
      </c>
      <c r="I322" s="8">
        <v>0</v>
      </c>
      <c r="J322" s="8">
        <v>0</v>
      </c>
      <c r="K322" s="8">
        <v>0</v>
      </c>
      <c r="L322" s="8">
        <v>0</v>
      </c>
      <c r="M322" s="24">
        <f t="shared" si="46"/>
        <v>0</v>
      </c>
      <c r="N322" s="24">
        <v>0</v>
      </c>
      <c r="O322" s="240">
        <f t="shared" si="49"/>
        <v>0</v>
      </c>
    </row>
    <row r="323" spans="1:15" ht="39.75" customHeight="1" hidden="1">
      <c r="A323" s="23"/>
      <c r="B323" s="18"/>
      <c r="C323" s="11" t="s">
        <v>424</v>
      </c>
      <c r="D323" s="8"/>
      <c r="E323" s="8"/>
      <c r="F323" s="8"/>
      <c r="G323" s="8"/>
      <c r="H323" s="8">
        <v>0</v>
      </c>
      <c r="I323" s="8">
        <v>0</v>
      </c>
      <c r="J323" s="8">
        <v>0</v>
      </c>
      <c r="K323" s="8"/>
      <c r="L323" s="8">
        <v>0</v>
      </c>
      <c r="M323" s="24">
        <f t="shared" si="46"/>
        <v>0</v>
      </c>
      <c r="N323" s="24">
        <v>0</v>
      </c>
      <c r="O323" s="240">
        <f t="shared" si="49"/>
        <v>0</v>
      </c>
    </row>
    <row r="324" spans="1:15" ht="22.5" customHeight="1" hidden="1">
      <c r="A324" s="26" t="s">
        <v>444</v>
      </c>
      <c r="B324" s="27"/>
      <c r="C324" s="7" t="s">
        <v>445</v>
      </c>
      <c r="D324" s="7" t="e">
        <f>D325+D326+D327+D330+D339+D341+#REF!</f>
        <v>#REF!</v>
      </c>
      <c r="E324" s="7">
        <f>E325+E326+E327+E328+E329+E330+E331+E332+E333+E334+E335+E336+E337+E338+E339+E341</f>
        <v>2163559</v>
      </c>
      <c r="F324" s="7">
        <f>F325+F326+F327+F328+F329+F330+F331+F332+F333+F334+F335+F336+F337+F338+F339+F341</f>
        <v>0</v>
      </c>
      <c r="G324" s="7">
        <f>G325+G326+G327+G328+G329+G330+G331+G332+G333+G334+G335+G336+G337+G338+G339+G341</f>
        <v>0</v>
      </c>
      <c r="H324" s="8"/>
      <c r="I324" s="8"/>
      <c r="J324" s="8"/>
      <c r="K324" s="8"/>
      <c r="L324" s="8">
        <v>0</v>
      </c>
      <c r="M324" s="24" t="e">
        <f>#REF!</f>
        <v>#REF!</v>
      </c>
      <c r="N324" s="24">
        <v>0</v>
      </c>
      <c r="O324" s="240">
        <f t="shared" si="49"/>
        <v>0</v>
      </c>
    </row>
    <row r="325" spans="1:15" ht="21.75" customHeight="1" hidden="1">
      <c r="A325" s="26"/>
      <c r="B325" s="18" t="s">
        <v>281</v>
      </c>
      <c r="C325" s="11" t="s">
        <v>282</v>
      </c>
      <c r="D325" s="8">
        <v>2340654</v>
      </c>
      <c r="E325" s="8">
        <v>1129188</v>
      </c>
      <c r="F325" s="8">
        <v>0</v>
      </c>
      <c r="G325" s="8">
        <v>0</v>
      </c>
      <c r="H325" s="8"/>
      <c r="I325" s="8"/>
      <c r="J325" s="8"/>
      <c r="K325" s="8"/>
      <c r="L325" s="8">
        <v>0</v>
      </c>
      <c r="M325" s="24" t="e">
        <f>#REF!</f>
        <v>#REF!</v>
      </c>
      <c r="N325" s="24">
        <v>0</v>
      </c>
      <c r="O325" s="240">
        <f t="shared" si="49"/>
        <v>0</v>
      </c>
    </row>
    <row r="326" spans="1:15" ht="21.75" customHeight="1" hidden="1">
      <c r="A326" s="26"/>
      <c r="B326" s="18" t="s">
        <v>285</v>
      </c>
      <c r="C326" s="11" t="s">
        <v>286</v>
      </c>
      <c r="D326" s="8">
        <v>166280</v>
      </c>
      <c r="E326" s="8">
        <v>211716</v>
      </c>
      <c r="F326" s="8">
        <v>0</v>
      </c>
      <c r="G326" s="8">
        <v>0</v>
      </c>
      <c r="H326" s="8"/>
      <c r="I326" s="8"/>
      <c r="J326" s="8"/>
      <c r="K326" s="8"/>
      <c r="L326" s="8">
        <v>0</v>
      </c>
      <c r="M326" s="24" t="e">
        <f>#REF!</f>
        <v>#REF!</v>
      </c>
      <c r="N326" s="24">
        <v>0</v>
      </c>
      <c r="O326" s="240">
        <f t="shared" si="49"/>
        <v>0</v>
      </c>
    </row>
    <row r="327" spans="1:15" ht="20.25" customHeight="1" hidden="1">
      <c r="A327" s="26"/>
      <c r="B327" s="25" t="s">
        <v>338</v>
      </c>
      <c r="C327" s="11" t="s">
        <v>355</v>
      </c>
      <c r="D327" s="8">
        <v>456367</v>
      </c>
      <c r="E327" s="8">
        <v>235109</v>
      </c>
      <c r="F327" s="8">
        <v>0</v>
      </c>
      <c r="G327" s="8">
        <v>0</v>
      </c>
      <c r="H327" s="8"/>
      <c r="I327" s="8"/>
      <c r="J327" s="8"/>
      <c r="K327" s="8"/>
      <c r="L327" s="8">
        <v>0</v>
      </c>
      <c r="M327" s="24" t="e">
        <f>#REF!</f>
        <v>#REF!</v>
      </c>
      <c r="N327" s="24">
        <v>0</v>
      </c>
      <c r="O327" s="240">
        <f t="shared" si="49"/>
        <v>0</v>
      </c>
    </row>
    <row r="328" spans="1:15" ht="22.5" customHeight="1" hidden="1">
      <c r="A328" s="26"/>
      <c r="B328" s="25" t="s">
        <v>289</v>
      </c>
      <c r="C328" s="11" t="s">
        <v>290</v>
      </c>
      <c r="D328" s="8"/>
      <c r="E328" s="8">
        <v>33406</v>
      </c>
      <c r="F328" s="8">
        <v>0</v>
      </c>
      <c r="G328" s="8">
        <v>0</v>
      </c>
      <c r="H328" s="20"/>
      <c r="I328" s="20"/>
      <c r="J328" s="20"/>
      <c r="K328" s="20"/>
      <c r="L328" s="8">
        <v>0</v>
      </c>
      <c r="M328" s="24" t="e">
        <f>#REF!</f>
        <v>#REF!</v>
      </c>
      <c r="N328" s="24">
        <v>0</v>
      </c>
      <c r="O328" s="240">
        <f t="shared" si="49"/>
        <v>0</v>
      </c>
    </row>
    <row r="329" spans="1:15" ht="20.25" customHeight="1" hidden="1">
      <c r="A329" s="26"/>
      <c r="B329" s="25"/>
      <c r="C329" s="11" t="s">
        <v>329</v>
      </c>
      <c r="D329" s="8"/>
      <c r="E329" s="8">
        <v>1420</v>
      </c>
      <c r="F329" s="8">
        <v>0</v>
      </c>
      <c r="G329" s="8">
        <v>0</v>
      </c>
      <c r="H329" s="8"/>
      <c r="I329" s="8"/>
      <c r="J329" s="8"/>
      <c r="K329" s="8"/>
      <c r="L329" s="8">
        <v>0</v>
      </c>
      <c r="M329" s="24" t="e">
        <f>#REF!</f>
        <v>#REF!</v>
      </c>
      <c r="N329" s="24">
        <v>0</v>
      </c>
      <c r="O329" s="240">
        <f t="shared" si="49"/>
        <v>0</v>
      </c>
    </row>
    <row r="330" spans="1:15" ht="18.75" customHeight="1" hidden="1">
      <c r="A330" s="26"/>
      <c r="B330" s="18" t="s">
        <v>269</v>
      </c>
      <c r="C330" s="8" t="s">
        <v>317</v>
      </c>
      <c r="D330" s="8">
        <v>637711</v>
      </c>
      <c r="E330" s="8">
        <v>1892</v>
      </c>
      <c r="F330" s="8">
        <v>0</v>
      </c>
      <c r="G330" s="8">
        <v>0</v>
      </c>
      <c r="H330" s="8"/>
      <c r="I330" s="8"/>
      <c r="J330" s="8"/>
      <c r="K330" s="8"/>
      <c r="L330" s="8">
        <v>0</v>
      </c>
      <c r="M330" s="24" t="e">
        <f>#REF!</f>
        <v>#REF!</v>
      </c>
      <c r="N330" s="24">
        <v>0</v>
      </c>
      <c r="O330" s="240">
        <f t="shared" si="49"/>
        <v>0</v>
      </c>
    </row>
    <row r="331" spans="1:15" ht="18" customHeight="1" hidden="1">
      <c r="A331" s="26"/>
      <c r="B331" s="18" t="s">
        <v>291</v>
      </c>
      <c r="C331" s="8" t="s">
        <v>318</v>
      </c>
      <c r="D331" s="8"/>
      <c r="E331" s="8">
        <v>196582</v>
      </c>
      <c r="F331" s="8">
        <v>0</v>
      </c>
      <c r="G331" s="8">
        <v>0</v>
      </c>
      <c r="H331" s="8"/>
      <c r="I331" s="8"/>
      <c r="J331" s="8"/>
      <c r="K331" s="8"/>
      <c r="L331" s="8">
        <v>0</v>
      </c>
      <c r="M331" s="24" t="e">
        <f>#REF!</f>
        <v>#REF!</v>
      </c>
      <c r="N331" s="24">
        <v>0</v>
      </c>
      <c r="O331" s="240">
        <f t="shared" si="49"/>
        <v>0</v>
      </c>
    </row>
    <row r="332" spans="1:15" ht="18.75" customHeight="1" hidden="1">
      <c r="A332" s="26"/>
      <c r="B332" s="18" t="s">
        <v>420</v>
      </c>
      <c r="C332" s="8" t="s">
        <v>446</v>
      </c>
      <c r="D332" s="8"/>
      <c r="E332" s="8">
        <v>2294</v>
      </c>
      <c r="F332" s="8">
        <v>0</v>
      </c>
      <c r="G332" s="8">
        <v>0</v>
      </c>
      <c r="H332" s="7"/>
      <c r="I332" s="7"/>
      <c r="J332" s="7"/>
      <c r="K332" s="7"/>
      <c r="L332" s="8">
        <v>0</v>
      </c>
      <c r="M332" s="24" t="e">
        <f>#REF!</f>
        <v>#REF!</v>
      </c>
      <c r="N332" s="24">
        <v>0</v>
      </c>
      <c r="O332" s="240">
        <f t="shared" si="49"/>
        <v>0</v>
      </c>
    </row>
    <row r="333" spans="1:15" ht="18" customHeight="1" hidden="1">
      <c r="A333" s="26"/>
      <c r="B333" s="18" t="s">
        <v>293</v>
      </c>
      <c r="C333" s="8" t="s">
        <v>294</v>
      </c>
      <c r="D333" s="8"/>
      <c r="E333" s="8">
        <v>41877</v>
      </c>
      <c r="F333" s="8">
        <v>0</v>
      </c>
      <c r="G333" s="8">
        <v>0</v>
      </c>
      <c r="H333" s="8"/>
      <c r="I333" s="8"/>
      <c r="J333" s="8"/>
      <c r="K333" s="8"/>
      <c r="L333" s="8">
        <v>0</v>
      </c>
      <c r="M333" s="24" t="e">
        <f>#REF!</f>
        <v>#REF!</v>
      </c>
      <c r="N333" s="24">
        <v>0</v>
      </c>
      <c r="O333" s="240">
        <f t="shared" si="49"/>
        <v>0</v>
      </c>
    </row>
    <row r="334" spans="1:15" ht="18.75" customHeight="1" hidden="1">
      <c r="A334" s="26"/>
      <c r="B334" s="18" t="s">
        <v>295</v>
      </c>
      <c r="C334" s="8" t="s">
        <v>296</v>
      </c>
      <c r="D334" s="8"/>
      <c r="E334" s="8">
        <v>2075</v>
      </c>
      <c r="F334" s="8">
        <v>0</v>
      </c>
      <c r="G334" s="8">
        <v>0</v>
      </c>
      <c r="H334" s="8"/>
      <c r="I334" s="8"/>
      <c r="J334" s="8"/>
      <c r="K334" s="8"/>
      <c r="L334" s="8">
        <v>0</v>
      </c>
      <c r="M334" s="24" t="e">
        <f>#REF!</f>
        <v>#REF!</v>
      </c>
      <c r="N334" s="24">
        <v>0</v>
      </c>
      <c r="O334" s="240">
        <f t="shared" si="49"/>
        <v>0</v>
      </c>
    </row>
    <row r="335" spans="1:15" ht="18.75" customHeight="1" hidden="1">
      <c r="A335" s="26"/>
      <c r="B335" s="18" t="s">
        <v>297</v>
      </c>
      <c r="C335" s="8" t="s">
        <v>298</v>
      </c>
      <c r="D335" s="8"/>
      <c r="E335" s="8">
        <v>31387</v>
      </c>
      <c r="F335" s="8">
        <v>0</v>
      </c>
      <c r="G335" s="8">
        <v>0</v>
      </c>
      <c r="H335" s="8"/>
      <c r="I335" s="8"/>
      <c r="J335" s="8"/>
      <c r="K335" s="8"/>
      <c r="L335" s="8">
        <v>0</v>
      </c>
      <c r="M335" s="24" t="e">
        <f>#REF!</f>
        <v>#REF!</v>
      </c>
      <c r="N335" s="24">
        <v>0</v>
      </c>
      <c r="O335" s="240">
        <f t="shared" si="49"/>
        <v>0</v>
      </c>
    </row>
    <row r="336" spans="1:15" ht="18.75" customHeight="1" hidden="1">
      <c r="A336" s="26"/>
      <c r="B336" s="18" t="s">
        <v>299</v>
      </c>
      <c r="C336" s="8" t="s">
        <v>447</v>
      </c>
      <c r="D336" s="8"/>
      <c r="E336" s="8">
        <v>3189</v>
      </c>
      <c r="F336" s="8">
        <v>0</v>
      </c>
      <c r="G336" s="8">
        <v>0</v>
      </c>
      <c r="H336" s="8"/>
      <c r="I336" s="8"/>
      <c r="J336" s="8"/>
      <c r="K336" s="8"/>
      <c r="L336" s="8">
        <v>0</v>
      </c>
      <c r="M336" s="24" t="e">
        <f>#REF!</f>
        <v>#REF!</v>
      </c>
      <c r="N336" s="24">
        <v>0</v>
      </c>
      <c r="O336" s="240">
        <f t="shared" si="49"/>
        <v>0</v>
      </c>
    </row>
    <row r="337" spans="1:15" ht="18" customHeight="1" hidden="1">
      <c r="A337" s="26"/>
      <c r="B337" s="18" t="s">
        <v>301</v>
      </c>
      <c r="C337" s="8" t="s">
        <v>449</v>
      </c>
      <c r="D337" s="8"/>
      <c r="E337" s="8">
        <v>0</v>
      </c>
      <c r="F337" s="8">
        <v>0</v>
      </c>
      <c r="G337" s="8">
        <v>0</v>
      </c>
      <c r="H337" s="8"/>
      <c r="I337" s="8"/>
      <c r="J337" s="8"/>
      <c r="K337" s="8"/>
      <c r="L337" s="8">
        <v>0</v>
      </c>
      <c r="M337" s="24" t="e">
        <f>#REF!</f>
        <v>#REF!</v>
      </c>
      <c r="N337" s="24">
        <v>0</v>
      </c>
      <c r="O337" s="240">
        <f t="shared" si="49"/>
        <v>0</v>
      </c>
    </row>
    <row r="338" spans="1:15" ht="18" customHeight="1" hidden="1">
      <c r="A338" s="26"/>
      <c r="B338" s="18" t="s">
        <v>303</v>
      </c>
      <c r="C338" s="8" t="s">
        <v>450</v>
      </c>
      <c r="D338" s="8"/>
      <c r="E338" s="8">
        <v>86736</v>
      </c>
      <c r="F338" s="8">
        <v>0</v>
      </c>
      <c r="G338" s="8">
        <v>0</v>
      </c>
      <c r="H338" s="8"/>
      <c r="I338" s="8"/>
      <c r="J338" s="8"/>
      <c r="K338" s="8"/>
      <c r="L338" s="8">
        <v>0</v>
      </c>
      <c r="M338" s="24" t="e">
        <f>#REF!</f>
        <v>#REF!</v>
      </c>
      <c r="N338" s="24">
        <v>0</v>
      </c>
      <c r="O338" s="240">
        <f t="shared" si="49"/>
        <v>0</v>
      </c>
    </row>
    <row r="339" spans="1:15" ht="18" customHeight="1" hidden="1">
      <c r="A339" s="26"/>
      <c r="B339" s="18" t="s">
        <v>423</v>
      </c>
      <c r="C339" s="11" t="s">
        <v>451</v>
      </c>
      <c r="D339" s="8">
        <f>D340</f>
        <v>496267</v>
      </c>
      <c r="E339" s="20">
        <v>136749</v>
      </c>
      <c r="F339" s="20">
        <f>F340</f>
        <v>0</v>
      </c>
      <c r="G339" s="20">
        <v>0</v>
      </c>
      <c r="H339" s="8"/>
      <c r="I339" s="8"/>
      <c r="J339" s="8"/>
      <c r="K339" s="8"/>
      <c r="L339" s="8">
        <v>0</v>
      </c>
      <c r="M339" s="24" t="e">
        <f>#REF!</f>
        <v>#REF!</v>
      </c>
      <c r="N339" s="24">
        <v>0</v>
      </c>
      <c r="O339" s="240">
        <f t="shared" si="49"/>
        <v>0</v>
      </c>
    </row>
    <row r="340" spans="1:15" ht="17.25" customHeight="1" hidden="1">
      <c r="A340" s="26"/>
      <c r="B340" s="18"/>
      <c r="C340" s="8" t="s">
        <v>435</v>
      </c>
      <c r="D340" s="8">
        <v>496267</v>
      </c>
      <c r="E340" s="8">
        <v>136749</v>
      </c>
      <c r="F340" s="8">
        <v>0</v>
      </c>
      <c r="G340" s="8">
        <v>0</v>
      </c>
      <c r="H340" s="8"/>
      <c r="I340" s="8"/>
      <c r="J340" s="8"/>
      <c r="K340" s="8"/>
      <c r="L340" s="8">
        <v>0</v>
      </c>
      <c r="M340" s="24" t="e">
        <f>#REF!</f>
        <v>#REF!</v>
      </c>
      <c r="N340" s="24">
        <v>0</v>
      </c>
      <c r="O340" s="240">
        <f t="shared" si="49"/>
        <v>0</v>
      </c>
    </row>
    <row r="341" spans="1:15" ht="13.5" customHeight="1" hidden="1">
      <c r="A341" s="26"/>
      <c r="B341" s="18" t="s">
        <v>321</v>
      </c>
      <c r="C341" s="8" t="s">
        <v>438</v>
      </c>
      <c r="D341" s="8">
        <v>55041</v>
      </c>
      <c r="E341" s="8">
        <v>49939</v>
      </c>
      <c r="F341" s="8">
        <v>0</v>
      </c>
      <c r="G341" s="8">
        <v>0</v>
      </c>
      <c r="H341" s="8"/>
      <c r="I341" s="8"/>
      <c r="J341" s="8"/>
      <c r="K341" s="8"/>
      <c r="L341" s="8">
        <v>0</v>
      </c>
      <c r="M341" s="24" t="e">
        <f>#REF!</f>
        <v>#REF!</v>
      </c>
      <c r="N341" s="24">
        <v>0</v>
      </c>
      <c r="O341" s="240">
        <f t="shared" si="49"/>
        <v>0</v>
      </c>
    </row>
    <row r="342" spans="1:15" ht="14.25" customHeight="1" hidden="1">
      <c r="A342" s="26"/>
      <c r="B342" s="18" t="s">
        <v>452</v>
      </c>
      <c r="C342" s="11" t="s">
        <v>453</v>
      </c>
      <c r="D342" s="8"/>
      <c r="E342" s="8">
        <v>0</v>
      </c>
      <c r="F342" s="8">
        <v>0</v>
      </c>
      <c r="G342" s="8">
        <v>0</v>
      </c>
      <c r="H342" s="8"/>
      <c r="I342" s="8"/>
      <c r="J342" s="8"/>
      <c r="K342" s="8"/>
      <c r="L342" s="8">
        <v>0</v>
      </c>
      <c r="M342" s="24" t="e">
        <f>#REF!</f>
        <v>#REF!</v>
      </c>
      <c r="N342" s="24">
        <v>0</v>
      </c>
      <c r="O342" s="240">
        <f t="shared" si="49"/>
        <v>0</v>
      </c>
    </row>
    <row r="343" spans="1:15" ht="17.25" customHeight="1" hidden="1">
      <c r="A343" s="26"/>
      <c r="B343" s="18" t="s">
        <v>403</v>
      </c>
      <c r="C343" s="11" t="s">
        <v>95</v>
      </c>
      <c r="D343" s="8"/>
      <c r="E343" s="8"/>
      <c r="F343" s="8"/>
      <c r="G343" s="8"/>
      <c r="H343" s="8">
        <v>0</v>
      </c>
      <c r="I343" s="8">
        <v>0</v>
      </c>
      <c r="J343" s="8">
        <v>0</v>
      </c>
      <c r="K343" s="8"/>
      <c r="L343" s="8">
        <v>0</v>
      </c>
      <c r="M343" s="24" t="e">
        <f>#REF!</f>
        <v>#REF!</v>
      </c>
      <c r="N343" s="24">
        <v>0</v>
      </c>
      <c r="O343" s="240">
        <f t="shared" si="49"/>
        <v>0</v>
      </c>
    </row>
    <row r="344" spans="1:15" ht="17.25" customHeight="1" hidden="1">
      <c r="A344" s="26"/>
      <c r="B344" s="18" t="s">
        <v>297</v>
      </c>
      <c r="C344" s="11" t="s">
        <v>385</v>
      </c>
      <c r="D344" s="8"/>
      <c r="E344" s="8"/>
      <c r="F344" s="8"/>
      <c r="G344" s="8"/>
      <c r="H344" s="8">
        <v>0</v>
      </c>
      <c r="I344" s="8">
        <v>0</v>
      </c>
      <c r="J344" s="8">
        <v>0</v>
      </c>
      <c r="K344" s="8"/>
      <c r="L344" s="8">
        <v>0</v>
      </c>
      <c r="M344" s="24" t="e">
        <f>#REF!</f>
        <v>#REF!</v>
      </c>
      <c r="N344" s="24">
        <v>0</v>
      </c>
      <c r="O344" s="240">
        <f t="shared" si="49"/>
        <v>0</v>
      </c>
    </row>
    <row r="345" spans="1:15" ht="26.25" customHeight="1" hidden="1">
      <c r="A345" s="17" t="s">
        <v>454</v>
      </c>
      <c r="B345" s="18"/>
      <c r="C345" s="4" t="s">
        <v>455</v>
      </c>
      <c r="D345" s="7" t="e">
        <f>D346+#REF!+D347+D349+D354</f>
        <v>#REF!</v>
      </c>
      <c r="E345" s="7" t="e">
        <f>E346+#REF!+E347+E348+E349+E354</f>
        <v>#REF!</v>
      </c>
      <c r="F345" s="7" t="e">
        <f>F346+#REF!+F347+F348+F349+F354+F355+F356+F357</f>
        <v>#REF!</v>
      </c>
      <c r="G345" s="7" t="e">
        <f>G346+#REF!+G347+G348+G349+G354</f>
        <v>#REF!</v>
      </c>
      <c r="H345" s="7">
        <f aca="true" t="shared" si="50" ref="H345:N345">H346+H347+H348+H350+H354</f>
        <v>0</v>
      </c>
      <c r="I345" s="7">
        <f t="shared" si="50"/>
        <v>0</v>
      </c>
      <c r="J345" s="7">
        <f t="shared" si="50"/>
        <v>0</v>
      </c>
      <c r="K345" s="7"/>
      <c r="L345" s="7">
        <f t="shared" si="50"/>
        <v>0</v>
      </c>
      <c r="M345" s="7">
        <f t="shared" si="50"/>
        <v>0</v>
      </c>
      <c r="N345" s="7">
        <f t="shared" si="50"/>
        <v>0</v>
      </c>
      <c r="O345" s="240">
        <f t="shared" si="49"/>
        <v>0</v>
      </c>
    </row>
    <row r="346" spans="1:15" ht="21.75" customHeight="1" hidden="1">
      <c r="A346" s="519"/>
      <c r="B346" s="18" t="s">
        <v>281</v>
      </c>
      <c r="C346" s="11" t="s">
        <v>282</v>
      </c>
      <c r="D346" s="8">
        <v>0</v>
      </c>
      <c r="E346" s="8">
        <v>13764</v>
      </c>
      <c r="F346" s="8">
        <v>0</v>
      </c>
      <c r="G346" s="8">
        <v>0</v>
      </c>
      <c r="H346" s="8">
        <v>0</v>
      </c>
      <c r="I346" s="8">
        <v>0</v>
      </c>
      <c r="J346" s="8">
        <v>0</v>
      </c>
      <c r="K346" s="8"/>
      <c r="L346" s="8">
        <v>0</v>
      </c>
      <c r="M346" s="8">
        <v>0</v>
      </c>
      <c r="N346" s="8">
        <v>0</v>
      </c>
      <c r="O346" s="240">
        <f t="shared" si="49"/>
        <v>0</v>
      </c>
    </row>
    <row r="347" spans="1:15" ht="16.5" customHeight="1" hidden="1">
      <c r="A347" s="519"/>
      <c r="B347" s="25" t="s">
        <v>338</v>
      </c>
      <c r="C347" s="11" t="s">
        <v>355</v>
      </c>
      <c r="D347" s="8">
        <v>0</v>
      </c>
      <c r="E347" s="8">
        <v>2430</v>
      </c>
      <c r="F347" s="8">
        <v>0</v>
      </c>
      <c r="G347" s="8">
        <v>0</v>
      </c>
      <c r="H347" s="8">
        <v>0</v>
      </c>
      <c r="I347" s="8">
        <v>0</v>
      </c>
      <c r="J347" s="8">
        <v>0</v>
      </c>
      <c r="K347" s="8"/>
      <c r="L347" s="8">
        <v>0</v>
      </c>
      <c r="M347" s="8">
        <v>0</v>
      </c>
      <c r="N347" s="8">
        <v>0</v>
      </c>
      <c r="O347" s="240">
        <f t="shared" si="49"/>
        <v>0</v>
      </c>
    </row>
    <row r="348" spans="1:15" ht="21" customHeight="1" hidden="1">
      <c r="A348" s="519"/>
      <c r="B348" s="25" t="s">
        <v>289</v>
      </c>
      <c r="C348" s="11" t="s">
        <v>290</v>
      </c>
      <c r="D348" s="8"/>
      <c r="E348" s="8">
        <v>376</v>
      </c>
      <c r="F348" s="8">
        <v>0</v>
      </c>
      <c r="G348" s="8">
        <v>0</v>
      </c>
      <c r="H348" s="8">
        <v>0</v>
      </c>
      <c r="I348" s="8">
        <v>0</v>
      </c>
      <c r="J348" s="8">
        <v>0</v>
      </c>
      <c r="K348" s="8"/>
      <c r="L348" s="8">
        <v>0</v>
      </c>
      <c r="M348" s="8">
        <v>0</v>
      </c>
      <c r="N348" s="8">
        <v>0</v>
      </c>
      <c r="O348" s="240">
        <f t="shared" si="49"/>
        <v>0</v>
      </c>
    </row>
    <row r="349" spans="1:15" ht="20.25" customHeight="1" hidden="1">
      <c r="A349" s="519"/>
      <c r="B349" s="18"/>
      <c r="C349" s="8" t="s">
        <v>329</v>
      </c>
      <c r="D349" s="8">
        <v>0</v>
      </c>
      <c r="E349" s="8">
        <v>1100</v>
      </c>
      <c r="F349" s="8">
        <v>0</v>
      </c>
      <c r="G349" s="8">
        <v>0</v>
      </c>
      <c r="H349" s="8">
        <v>0</v>
      </c>
      <c r="I349" s="8">
        <v>0</v>
      </c>
      <c r="J349" s="8">
        <v>0</v>
      </c>
      <c r="K349" s="8"/>
      <c r="L349" s="8">
        <v>0</v>
      </c>
      <c r="M349" s="8">
        <v>0</v>
      </c>
      <c r="N349" s="8">
        <v>0</v>
      </c>
      <c r="O349" s="240">
        <f aca="true" t="shared" si="51" ref="O349:O373">K349/$K$616</f>
        <v>0</v>
      </c>
    </row>
    <row r="350" spans="1:15" ht="16.5" customHeight="1" hidden="1">
      <c r="A350" s="23"/>
      <c r="B350" s="18" t="s">
        <v>303</v>
      </c>
      <c r="C350" s="8" t="s">
        <v>304</v>
      </c>
      <c r="D350" s="8"/>
      <c r="E350" s="8"/>
      <c r="F350" s="8"/>
      <c r="G350" s="8"/>
      <c r="H350" s="8">
        <v>0</v>
      </c>
      <c r="I350" s="8">
        <v>0</v>
      </c>
      <c r="J350" s="8">
        <v>0</v>
      </c>
      <c r="K350" s="8"/>
      <c r="L350" s="8">
        <v>0</v>
      </c>
      <c r="M350" s="8">
        <v>0</v>
      </c>
      <c r="N350" s="8">
        <v>0</v>
      </c>
      <c r="O350" s="240">
        <f t="shared" si="51"/>
        <v>0</v>
      </c>
    </row>
    <row r="351" spans="1:15" ht="18.75" customHeight="1" hidden="1">
      <c r="A351" s="23"/>
      <c r="B351" s="18"/>
      <c r="C351" s="8"/>
      <c r="D351" s="8"/>
      <c r="E351" s="8"/>
      <c r="F351" s="8"/>
      <c r="G351" s="8"/>
      <c r="H351" s="8">
        <v>0</v>
      </c>
      <c r="I351" s="8">
        <v>0</v>
      </c>
      <c r="J351" s="8">
        <v>0</v>
      </c>
      <c r="K351" s="8"/>
      <c r="L351" s="8">
        <v>0</v>
      </c>
      <c r="M351" s="8">
        <v>0</v>
      </c>
      <c r="N351" s="8">
        <v>0</v>
      </c>
      <c r="O351" s="240">
        <f t="shared" si="51"/>
        <v>0</v>
      </c>
    </row>
    <row r="352" spans="1:15" ht="16.5" customHeight="1" hidden="1">
      <c r="A352" s="23"/>
      <c r="B352" s="18"/>
      <c r="C352" s="8"/>
      <c r="D352" s="8"/>
      <c r="E352" s="8"/>
      <c r="F352" s="8"/>
      <c r="G352" s="8"/>
      <c r="H352" s="8">
        <v>0</v>
      </c>
      <c r="I352" s="8">
        <v>0</v>
      </c>
      <c r="J352" s="8">
        <v>0</v>
      </c>
      <c r="K352" s="8"/>
      <c r="L352" s="8">
        <v>0</v>
      </c>
      <c r="M352" s="8">
        <v>0</v>
      </c>
      <c r="N352" s="8">
        <v>0</v>
      </c>
      <c r="O352" s="240">
        <f t="shared" si="51"/>
        <v>0</v>
      </c>
    </row>
    <row r="353" spans="1:15" ht="19.5" customHeight="1" hidden="1">
      <c r="A353" s="23"/>
      <c r="B353" s="18"/>
      <c r="C353" s="8"/>
      <c r="D353" s="8"/>
      <c r="E353" s="8"/>
      <c r="F353" s="8"/>
      <c r="G353" s="8"/>
      <c r="H353" s="8">
        <v>0</v>
      </c>
      <c r="I353" s="8">
        <v>0</v>
      </c>
      <c r="J353" s="8">
        <v>0</v>
      </c>
      <c r="K353" s="8"/>
      <c r="L353" s="8">
        <v>0</v>
      </c>
      <c r="M353" s="8">
        <v>0</v>
      </c>
      <c r="N353" s="8">
        <v>0</v>
      </c>
      <c r="O353" s="240">
        <f t="shared" si="51"/>
        <v>0</v>
      </c>
    </row>
    <row r="354" spans="1:15" ht="25.5" customHeight="1" hidden="1">
      <c r="A354" s="23"/>
      <c r="B354" s="18" t="s">
        <v>423</v>
      </c>
      <c r="C354" s="11" t="s">
        <v>456</v>
      </c>
      <c r="D354" s="8" t="e">
        <f>D355+#REF!+#REF!</f>
        <v>#REF!</v>
      </c>
      <c r="E354" s="8">
        <f>E355+E356+E357</f>
        <v>121567</v>
      </c>
      <c r="F354" s="8">
        <f>F355+F356+F357</f>
        <v>0</v>
      </c>
      <c r="G354" s="8">
        <f>G355+G356+G357</f>
        <v>29180</v>
      </c>
      <c r="H354" s="8">
        <v>0</v>
      </c>
      <c r="I354" s="8">
        <v>0</v>
      </c>
      <c r="J354" s="8">
        <v>0</v>
      </c>
      <c r="K354" s="8"/>
      <c r="L354" s="8">
        <v>0</v>
      </c>
      <c r="M354" s="8">
        <v>0</v>
      </c>
      <c r="N354" s="8">
        <v>0</v>
      </c>
      <c r="O354" s="240">
        <f t="shared" si="51"/>
        <v>0</v>
      </c>
    </row>
    <row r="355" spans="1:15" ht="18.75" customHeight="1" hidden="1">
      <c r="A355" s="23"/>
      <c r="B355" s="18"/>
      <c r="C355" s="28" t="s">
        <v>435</v>
      </c>
      <c r="D355" s="8">
        <v>0</v>
      </c>
      <c r="E355" s="8">
        <v>49189</v>
      </c>
      <c r="F355" s="8">
        <v>0</v>
      </c>
      <c r="G355" s="8">
        <v>4159</v>
      </c>
      <c r="H355" s="8">
        <v>0</v>
      </c>
      <c r="I355" s="8">
        <v>0</v>
      </c>
      <c r="J355" s="8">
        <v>0</v>
      </c>
      <c r="K355" s="8"/>
      <c r="L355" s="8">
        <v>0</v>
      </c>
      <c r="M355" s="8">
        <v>0</v>
      </c>
      <c r="N355" s="8">
        <v>0</v>
      </c>
      <c r="O355" s="240">
        <f t="shared" si="51"/>
        <v>0</v>
      </c>
    </row>
    <row r="356" spans="1:15" ht="18" customHeight="1" hidden="1">
      <c r="A356" s="23"/>
      <c r="B356" s="18"/>
      <c r="C356" s="28" t="s">
        <v>436</v>
      </c>
      <c r="D356" s="8"/>
      <c r="E356" s="8">
        <v>38942</v>
      </c>
      <c r="F356" s="8">
        <v>0</v>
      </c>
      <c r="G356" s="8">
        <v>3187</v>
      </c>
      <c r="H356" s="8">
        <v>0</v>
      </c>
      <c r="I356" s="8">
        <v>0</v>
      </c>
      <c r="J356" s="8">
        <v>0</v>
      </c>
      <c r="K356" s="8"/>
      <c r="L356" s="8">
        <v>0</v>
      </c>
      <c r="M356" s="8">
        <v>0</v>
      </c>
      <c r="N356" s="8">
        <v>0</v>
      </c>
      <c r="O356" s="240">
        <f t="shared" si="51"/>
        <v>0</v>
      </c>
    </row>
    <row r="357" spans="1:15" ht="15" customHeight="1" hidden="1">
      <c r="A357" s="23"/>
      <c r="B357" s="18"/>
      <c r="C357" s="28" t="s">
        <v>457</v>
      </c>
      <c r="D357" s="8"/>
      <c r="E357" s="8">
        <v>33436</v>
      </c>
      <c r="F357" s="8">
        <v>0</v>
      </c>
      <c r="G357" s="8">
        <v>21834</v>
      </c>
      <c r="H357" s="8"/>
      <c r="I357" s="8"/>
      <c r="J357" s="8"/>
      <c r="K357" s="8"/>
      <c r="L357" s="8">
        <v>0</v>
      </c>
      <c r="M357" s="24">
        <f>H357</f>
        <v>0</v>
      </c>
      <c r="N357" s="24">
        <v>0</v>
      </c>
      <c r="O357" s="240">
        <f t="shared" si="51"/>
        <v>0</v>
      </c>
    </row>
    <row r="358" spans="1:15" ht="17.25" customHeight="1">
      <c r="A358" s="26" t="s">
        <v>458</v>
      </c>
      <c r="B358" s="18"/>
      <c r="C358" s="7" t="s">
        <v>459</v>
      </c>
      <c r="D358" s="7">
        <f>D359+D360+D361+D364</f>
        <v>181894</v>
      </c>
      <c r="E358" s="7">
        <f>E359+E360+E361+E362+E364+E368</f>
        <v>139815</v>
      </c>
      <c r="F358" s="7">
        <f>F359+F360+F361+F362+F364+F368</f>
        <v>0</v>
      </c>
      <c r="G358" s="7">
        <f>G359+G360+G361+G362+G364+G368</f>
        <v>0</v>
      </c>
      <c r="H358" s="7">
        <f>H359+H360+H361+H362+H364+H368+H370+H366</f>
        <v>283956</v>
      </c>
      <c r="I358" s="7">
        <f>I359+I360+I361+I362+I364+I368+I370+I366</f>
        <v>0</v>
      </c>
      <c r="J358" s="7">
        <f>J359+J360+J361+J362+J364+J368+J370+J366</f>
        <v>0</v>
      </c>
      <c r="K358" s="7">
        <f>K359+K360+K361+K362+K364+K368+K370+K366+K363+K365+K367</f>
        <v>716418</v>
      </c>
      <c r="L358" s="7">
        <f>L359+L360+L361+L362+L364+L368+L370+L366+L363+L365+L367</f>
        <v>0</v>
      </c>
      <c r="M358" s="7">
        <f>M359+M360+M361+M362+M364+M368+M370+M366+M363+M365+M367</f>
        <v>716418</v>
      </c>
      <c r="N358" s="7">
        <f>N359+N360+N361+N362+N364+N368+N370+N366+N363+N365+N367</f>
        <v>0</v>
      </c>
      <c r="O358" s="240">
        <f t="shared" si="51"/>
        <v>0.022294174763142792</v>
      </c>
    </row>
    <row r="359" spans="1:15" ht="15.75" customHeight="1">
      <c r="A359" s="26"/>
      <c r="B359" s="18" t="s">
        <v>281</v>
      </c>
      <c r="C359" s="11" t="s">
        <v>282</v>
      </c>
      <c r="D359" s="8">
        <v>134523</v>
      </c>
      <c r="E359" s="8">
        <v>97179</v>
      </c>
      <c r="F359" s="8">
        <v>0</v>
      </c>
      <c r="G359" s="8">
        <v>0</v>
      </c>
      <c r="H359" s="8">
        <v>148200</v>
      </c>
      <c r="I359" s="8">
        <v>0</v>
      </c>
      <c r="J359" s="8">
        <v>0</v>
      </c>
      <c r="K359" s="8">
        <v>408564</v>
      </c>
      <c r="L359" s="8">
        <v>0</v>
      </c>
      <c r="M359" s="24">
        <f>K359</f>
        <v>408564</v>
      </c>
      <c r="N359" s="24">
        <v>0</v>
      </c>
      <c r="O359" s="240">
        <f t="shared" si="51"/>
        <v>0.012714082027431852</v>
      </c>
    </row>
    <row r="360" spans="1:15" ht="13.5" customHeight="1">
      <c r="A360" s="26"/>
      <c r="B360" s="18" t="s">
        <v>285</v>
      </c>
      <c r="C360" s="11" t="s">
        <v>286</v>
      </c>
      <c r="D360" s="8">
        <v>12439</v>
      </c>
      <c r="E360" s="8">
        <v>9136</v>
      </c>
      <c r="F360" s="8">
        <v>0</v>
      </c>
      <c r="G360" s="8">
        <v>0</v>
      </c>
      <c r="H360" s="8">
        <v>8185</v>
      </c>
      <c r="I360" s="8">
        <v>0</v>
      </c>
      <c r="J360" s="8">
        <v>0</v>
      </c>
      <c r="K360" s="8">
        <v>31800</v>
      </c>
      <c r="L360" s="8">
        <v>0</v>
      </c>
      <c r="M360" s="24">
        <f aca="true" t="shared" si="52" ref="M360:M370">K360</f>
        <v>31800</v>
      </c>
      <c r="N360" s="24">
        <v>0</v>
      </c>
      <c r="O360" s="240">
        <f t="shared" si="51"/>
        <v>0.0009895825586011809</v>
      </c>
    </row>
    <row r="361" spans="1:15" ht="13.5" customHeight="1">
      <c r="A361" s="26"/>
      <c r="B361" s="25" t="s">
        <v>338</v>
      </c>
      <c r="C361" s="11" t="s">
        <v>355</v>
      </c>
      <c r="D361" s="8">
        <v>28542</v>
      </c>
      <c r="E361" s="8">
        <v>18746</v>
      </c>
      <c r="F361" s="8">
        <v>0</v>
      </c>
      <c r="G361" s="8">
        <v>0</v>
      </c>
      <c r="H361" s="20">
        <v>27400</v>
      </c>
      <c r="I361" s="8">
        <v>0</v>
      </c>
      <c r="J361" s="8">
        <v>0</v>
      </c>
      <c r="K361" s="8">
        <v>79221</v>
      </c>
      <c r="L361" s="8">
        <v>0</v>
      </c>
      <c r="M361" s="24">
        <f t="shared" si="52"/>
        <v>79221</v>
      </c>
      <c r="N361" s="24">
        <v>0</v>
      </c>
      <c r="O361" s="240">
        <f t="shared" si="51"/>
        <v>0.002465274209903904</v>
      </c>
    </row>
    <row r="362" spans="1:15" ht="14.25" customHeight="1">
      <c r="A362" s="26"/>
      <c r="B362" s="25" t="s">
        <v>289</v>
      </c>
      <c r="C362" s="11" t="s">
        <v>290</v>
      </c>
      <c r="D362" s="8"/>
      <c r="E362" s="8">
        <v>2604</v>
      </c>
      <c r="F362" s="8">
        <v>0</v>
      </c>
      <c r="G362" s="8">
        <v>0</v>
      </c>
      <c r="H362" s="20">
        <v>3760</v>
      </c>
      <c r="I362" s="8">
        <v>0</v>
      </c>
      <c r="J362" s="8">
        <v>0</v>
      </c>
      <c r="K362" s="8">
        <v>10790</v>
      </c>
      <c r="L362" s="8">
        <v>0</v>
      </c>
      <c r="M362" s="24">
        <f t="shared" si="52"/>
        <v>10790</v>
      </c>
      <c r="N362" s="24">
        <v>0</v>
      </c>
      <c r="O362" s="240">
        <f t="shared" si="51"/>
        <v>0.0003357734530599604</v>
      </c>
    </row>
    <row r="363" spans="1:15" ht="16.5" customHeight="1" hidden="1">
      <c r="A363" s="26"/>
      <c r="B363" s="25" t="s">
        <v>269</v>
      </c>
      <c r="C363" s="11" t="s">
        <v>482</v>
      </c>
      <c r="D363" s="8"/>
      <c r="E363" s="8"/>
      <c r="F363" s="8"/>
      <c r="G363" s="8"/>
      <c r="H363" s="20"/>
      <c r="I363" s="8"/>
      <c r="J363" s="8"/>
      <c r="K363" s="8">
        <v>0</v>
      </c>
      <c r="L363" s="8">
        <v>0</v>
      </c>
      <c r="M363" s="24">
        <f t="shared" si="52"/>
        <v>0</v>
      </c>
      <c r="N363" s="24">
        <v>0</v>
      </c>
      <c r="O363" s="240">
        <f t="shared" si="51"/>
        <v>0</v>
      </c>
    </row>
    <row r="364" spans="1:15" ht="14.25" customHeight="1">
      <c r="A364" s="26"/>
      <c r="B364" s="18" t="s">
        <v>291</v>
      </c>
      <c r="C364" s="8" t="s">
        <v>318</v>
      </c>
      <c r="D364" s="8">
        <v>6390</v>
      </c>
      <c r="E364" s="8">
        <v>5029</v>
      </c>
      <c r="F364" s="8">
        <v>0</v>
      </c>
      <c r="G364" s="8">
        <v>0</v>
      </c>
      <c r="H364" s="20">
        <v>400</v>
      </c>
      <c r="I364" s="8">
        <v>0</v>
      </c>
      <c r="J364" s="8">
        <v>0</v>
      </c>
      <c r="K364" s="8">
        <v>6800</v>
      </c>
      <c r="L364" s="8">
        <v>0</v>
      </c>
      <c r="M364" s="24">
        <f t="shared" si="52"/>
        <v>6800</v>
      </c>
      <c r="N364" s="24">
        <v>0</v>
      </c>
      <c r="O364" s="240">
        <f t="shared" si="51"/>
        <v>0.00021160884900905754</v>
      </c>
    </row>
    <row r="365" spans="1:15" ht="13.5" customHeight="1">
      <c r="A365" s="26"/>
      <c r="B365" s="18" t="s">
        <v>293</v>
      </c>
      <c r="C365" s="8" t="s">
        <v>294</v>
      </c>
      <c r="D365" s="8"/>
      <c r="E365" s="8"/>
      <c r="F365" s="8"/>
      <c r="G365" s="8"/>
      <c r="H365" s="20"/>
      <c r="I365" s="8"/>
      <c r="J365" s="8"/>
      <c r="K365" s="8">
        <v>6500</v>
      </c>
      <c r="L365" s="8">
        <v>0</v>
      </c>
      <c r="M365" s="24">
        <f t="shared" si="52"/>
        <v>6500</v>
      </c>
      <c r="N365" s="24">
        <v>0</v>
      </c>
      <c r="O365" s="240">
        <f t="shared" si="51"/>
        <v>0.00020227316449395206</v>
      </c>
    </row>
    <row r="366" spans="1:15" ht="13.5" customHeight="1">
      <c r="A366" s="26"/>
      <c r="B366" s="18" t="s">
        <v>297</v>
      </c>
      <c r="C366" s="8" t="s">
        <v>298</v>
      </c>
      <c r="D366" s="8"/>
      <c r="E366" s="8"/>
      <c r="F366" s="8"/>
      <c r="G366" s="8"/>
      <c r="H366" s="20">
        <v>1600</v>
      </c>
      <c r="I366" s="8">
        <v>0</v>
      </c>
      <c r="J366" s="8">
        <v>0</v>
      </c>
      <c r="K366" s="8">
        <v>8200</v>
      </c>
      <c r="L366" s="8">
        <v>0</v>
      </c>
      <c r="M366" s="24">
        <f t="shared" si="52"/>
        <v>8200</v>
      </c>
      <c r="N366" s="24">
        <v>0</v>
      </c>
      <c r="O366" s="240">
        <f t="shared" si="51"/>
        <v>0.0002551753767462164</v>
      </c>
    </row>
    <row r="367" spans="1:15" ht="16.5" customHeight="1" hidden="1">
      <c r="A367" s="26"/>
      <c r="B367" s="18" t="s">
        <v>299</v>
      </c>
      <c r="C367" s="8" t="s">
        <v>447</v>
      </c>
      <c r="D367" s="8"/>
      <c r="E367" s="8"/>
      <c r="F367" s="8"/>
      <c r="G367" s="8"/>
      <c r="H367" s="20"/>
      <c r="I367" s="8"/>
      <c r="J367" s="8"/>
      <c r="K367" s="8">
        <v>0</v>
      </c>
      <c r="L367" s="8">
        <v>0</v>
      </c>
      <c r="M367" s="24">
        <f t="shared" si="52"/>
        <v>0</v>
      </c>
      <c r="N367" s="24">
        <v>0</v>
      </c>
      <c r="O367" s="240">
        <f t="shared" si="51"/>
        <v>0</v>
      </c>
    </row>
    <row r="368" spans="1:15" ht="14.25" customHeight="1">
      <c r="A368" s="26"/>
      <c r="B368" s="18" t="s">
        <v>303</v>
      </c>
      <c r="C368" s="8" t="s">
        <v>304</v>
      </c>
      <c r="D368" s="8"/>
      <c r="E368" s="8">
        <v>7121</v>
      </c>
      <c r="F368" s="8">
        <v>0</v>
      </c>
      <c r="G368" s="8">
        <v>0</v>
      </c>
      <c r="H368" s="20">
        <v>7875</v>
      </c>
      <c r="I368" s="8">
        <v>0</v>
      </c>
      <c r="J368" s="8">
        <v>0</v>
      </c>
      <c r="K368" s="8">
        <v>19556</v>
      </c>
      <c r="L368" s="8">
        <v>0</v>
      </c>
      <c r="M368" s="24">
        <f t="shared" si="52"/>
        <v>19556</v>
      </c>
      <c r="N368" s="24">
        <v>0</v>
      </c>
      <c r="O368" s="240">
        <f t="shared" si="51"/>
        <v>0.0006085621545913425</v>
      </c>
    </row>
    <row r="369" spans="1:15" ht="36.75" customHeight="1" hidden="1">
      <c r="A369" s="26" t="s">
        <v>460</v>
      </c>
      <c r="B369" s="18"/>
      <c r="C369" s="4" t="s">
        <v>461</v>
      </c>
      <c r="D369" s="7"/>
      <c r="E369" s="7">
        <f>E370</f>
        <v>0</v>
      </c>
      <c r="F369" s="7">
        <f>F370</f>
        <v>0</v>
      </c>
      <c r="G369" s="7">
        <f>G370</f>
        <v>0</v>
      </c>
      <c r="H369" s="7"/>
      <c r="I369" s="8">
        <v>0</v>
      </c>
      <c r="J369" s="8">
        <v>0</v>
      </c>
      <c r="K369" s="8"/>
      <c r="L369" s="7">
        <f>L370</f>
        <v>0</v>
      </c>
      <c r="M369" s="24">
        <f t="shared" si="52"/>
        <v>0</v>
      </c>
      <c r="N369" s="19">
        <f>N370</f>
        <v>0</v>
      </c>
      <c r="O369" s="240">
        <f t="shared" si="51"/>
        <v>0</v>
      </c>
    </row>
    <row r="370" spans="1:15" ht="20.25" customHeight="1">
      <c r="A370" s="26"/>
      <c r="B370" s="18" t="s">
        <v>423</v>
      </c>
      <c r="C370" s="208" t="s">
        <v>622</v>
      </c>
      <c r="D370" s="8"/>
      <c r="E370" s="8">
        <v>0</v>
      </c>
      <c r="F370" s="8">
        <v>0</v>
      </c>
      <c r="G370" s="8">
        <v>0</v>
      </c>
      <c r="H370" s="20">
        <v>86536</v>
      </c>
      <c r="I370" s="8">
        <v>0</v>
      </c>
      <c r="J370" s="8">
        <v>0</v>
      </c>
      <c r="K370" s="8">
        <v>144987</v>
      </c>
      <c r="L370" s="8">
        <v>0</v>
      </c>
      <c r="M370" s="24">
        <f t="shared" si="52"/>
        <v>144987</v>
      </c>
      <c r="N370" s="24">
        <v>0</v>
      </c>
      <c r="O370" s="240">
        <f t="shared" si="51"/>
        <v>0.004511842969305327</v>
      </c>
    </row>
    <row r="371" spans="1:15" ht="15.75" customHeight="1">
      <c r="A371" s="26" t="s">
        <v>464</v>
      </c>
      <c r="B371" s="27"/>
      <c r="C371" s="4" t="s">
        <v>467</v>
      </c>
      <c r="D371" s="7"/>
      <c r="E371" s="7" t="e">
        <f>E372+E374+#REF!+#REF!+#REF!</f>
        <v>#REF!</v>
      </c>
      <c r="F371" s="7" t="e">
        <f>F372+F374+#REF!+#REF!+#REF!</f>
        <v>#REF!</v>
      </c>
      <c r="G371" s="7" t="e">
        <f>G372+G374+#REF!+#REF!+#REF!</f>
        <v>#REF!</v>
      </c>
      <c r="H371" s="7" t="e">
        <f>H374+#REF!</f>
        <v>#REF!</v>
      </c>
      <c r="I371" s="7" t="e">
        <f>I374+#REF!</f>
        <v>#REF!</v>
      </c>
      <c r="J371" s="7" t="e">
        <f>J374+#REF!</f>
        <v>#REF!</v>
      </c>
      <c r="K371" s="7">
        <f>K373+K374</f>
        <v>1200</v>
      </c>
      <c r="L371" s="7">
        <f>L373+L374</f>
        <v>0</v>
      </c>
      <c r="M371" s="7">
        <f>M373+M374</f>
        <v>1200</v>
      </c>
      <c r="N371" s="7">
        <f>N373+N374</f>
        <v>0</v>
      </c>
      <c r="O371" s="240">
        <f t="shared" si="51"/>
        <v>3.734273806042192E-05</v>
      </c>
    </row>
    <row r="372" spans="1:15" ht="0.75" customHeight="1" hidden="1">
      <c r="A372" s="26"/>
      <c r="B372" s="18" t="s">
        <v>279</v>
      </c>
      <c r="C372" s="11" t="s">
        <v>468</v>
      </c>
      <c r="D372" s="8"/>
      <c r="E372" s="8">
        <v>0</v>
      </c>
      <c r="F372" s="8">
        <v>0</v>
      </c>
      <c r="G372" s="8">
        <v>0</v>
      </c>
      <c r="H372" s="7"/>
      <c r="I372" s="7"/>
      <c r="J372" s="7"/>
      <c r="K372" s="7"/>
      <c r="L372" s="8"/>
      <c r="M372" s="24"/>
      <c r="N372" s="24"/>
      <c r="O372" s="240">
        <f t="shared" si="51"/>
        <v>0</v>
      </c>
    </row>
    <row r="373" spans="1:15" ht="13.5" customHeight="1">
      <c r="A373" s="26"/>
      <c r="B373" s="18" t="s">
        <v>37</v>
      </c>
      <c r="C373" s="11" t="s">
        <v>52</v>
      </c>
      <c r="D373" s="8"/>
      <c r="E373" s="8"/>
      <c r="F373" s="8"/>
      <c r="G373" s="8"/>
      <c r="H373" s="7"/>
      <c r="I373" s="7"/>
      <c r="J373" s="7"/>
      <c r="K373" s="20">
        <v>960</v>
      </c>
      <c r="L373" s="8">
        <v>0</v>
      </c>
      <c r="M373" s="24">
        <f>K373</f>
        <v>960</v>
      </c>
      <c r="N373" s="24">
        <v>0</v>
      </c>
      <c r="O373" s="240">
        <f t="shared" si="51"/>
        <v>2.9874190448337536E-05</v>
      </c>
    </row>
    <row r="374" spans="1:15" ht="14.25" customHeight="1">
      <c r="A374" s="26"/>
      <c r="B374" s="18" t="s">
        <v>291</v>
      </c>
      <c r="C374" s="11" t="s">
        <v>318</v>
      </c>
      <c r="D374" s="8"/>
      <c r="E374" s="8">
        <v>43</v>
      </c>
      <c r="F374" s="8">
        <v>0</v>
      </c>
      <c r="G374" s="8">
        <v>7</v>
      </c>
      <c r="H374" s="8">
        <v>100</v>
      </c>
      <c r="I374" s="8">
        <v>0</v>
      </c>
      <c r="J374" s="8">
        <v>0</v>
      </c>
      <c r="K374" s="8">
        <v>240</v>
      </c>
      <c r="L374" s="8">
        <v>0</v>
      </c>
      <c r="M374" s="24">
        <f>K374</f>
        <v>240</v>
      </c>
      <c r="N374" s="24">
        <v>0</v>
      </c>
      <c r="O374" s="240">
        <f aca="true" t="shared" si="53" ref="O374:O405">K374/$K$616</f>
        <v>7.468547612084384E-06</v>
      </c>
    </row>
    <row r="375" spans="1:15" ht="22.5" customHeight="1">
      <c r="A375" s="26" t="s">
        <v>469</v>
      </c>
      <c r="B375" s="27"/>
      <c r="C375" s="4" t="s">
        <v>470</v>
      </c>
      <c r="D375" s="7"/>
      <c r="E375" s="7">
        <f>E376</f>
        <v>22260</v>
      </c>
      <c r="F375" s="7">
        <f>F376</f>
        <v>0</v>
      </c>
      <c r="G375" s="7">
        <f>G376</f>
        <v>0</v>
      </c>
      <c r="H375" s="7">
        <f>H376+H377+H378+H379+H380</f>
        <v>39096</v>
      </c>
      <c r="I375" s="7">
        <f>I376+I377+I378+I379+I380</f>
        <v>0</v>
      </c>
      <c r="J375" s="7">
        <f>J376+J377+J378+J379+J380</f>
        <v>0</v>
      </c>
      <c r="K375" s="7">
        <f>K376+K377+K378+K379+K380+K381+K382</f>
        <v>61720</v>
      </c>
      <c r="L375" s="7">
        <f>L376+L377+L378+L379+L380+L382</f>
        <v>0</v>
      </c>
      <c r="M375" s="7">
        <f>M376+M377+M378+M379+M380+M381+M382</f>
        <v>49720</v>
      </c>
      <c r="N375" s="7">
        <f>N376+N377+N378+N379+N380+N382</f>
        <v>12000</v>
      </c>
      <c r="O375" s="240">
        <f t="shared" si="53"/>
        <v>0.001920661494241034</v>
      </c>
    </row>
    <row r="376" spans="1:15" ht="17.25" customHeight="1">
      <c r="A376" s="26"/>
      <c r="B376" s="18" t="s">
        <v>462</v>
      </c>
      <c r="C376" s="11" t="s">
        <v>759</v>
      </c>
      <c r="D376" s="8"/>
      <c r="E376" s="8">
        <v>22260</v>
      </c>
      <c r="F376" s="8">
        <v>0</v>
      </c>
      <c r="G376" s="8">
        <v>0</v>
      </c>
      <c r="H376" s="20">
        <v>12000</v>
      </c>
      <c r="I376" s="20">
        <v>0</v>
      </c>
      <c r="J376" s="20">
        <v>0</v>
      </c>
      <c r="K376" s="8">
        <v>12000</v>
      </c>
      <c r="L376" s="8">
        <v>0</v>
      </c>
      <c r="M376" s="24">
        <v>0</v>
      </c>
      <c r="N376" s="24">
        <f>K376</f>
        <v>12000</v>
      </c>
      <c r="O376" s="240">
        <f t="shared" si="53"/>
        <v>0.0003734273806042192</v>
      </c>
    </row>
    <row r="377" spans="1:15" ht="15" customHeight="1">
      <c r="A377" s="26"/>
      <c r="B377" s="18" t="s">
        <v>78</v>
      </c>
      <c r="C377" s="11" t="s">
        <v>760</v>
      </c>
      <c r="D377" s="8"/>
      <c r="E377" s="8"/>
      <c r="F377" s="8"/>
      <c r="G377" s="8"/>
      <c r="H377" s="20">
        <v>13500</v>
      </c>
      <c r="I377" s="20">
        <v>0</v>
      </c>
      <c r="J377" s="20">
        <v>0</v>
      </c>
      <c r="K377" s="8">
        <v>0</v>
      </c>
      <c r="L377" s="8">
        <v>0</v>
      </c>
      <c r="M377" s="24">
        <f aca="true" t="shared" si="54" ref="M377:M382">K377</f>
        <v>0</v>
      </c>
      <c r="N377" s="24">
        <v>0</v>
      </c>
      <c r="O377" s="240">
        <f t="shared" si="53"/>
        <v>0</v>
      </c>
    </row>
    <row r="378" spans="1:15" ht="16.5" customHeight="1">
      <c r="A378" s="26"/>
      <c r="B378" s="18" t="s">
        <v>281</v>
      </c>
      <c r="C378" s="11" t="s">
        <v>282</v>
      </c>
      <c r="D378" s="8"/>
      <c r="E378" s="8"/>
      <c r="F378" s="8"/>
      <c r="G378" s="8"/>
      <c r="H378" s="20">
        <v>11300</v>
      </c>
      <c r="I378" s="20">
        <v>0</v>
      </c>
      <c r="J378" s="20">
        <v>0</v>
      </c>
      <c r="K378" s="8">
        <v>18720</v>
      </c>
      <c r="L378" s="8">
        <v>0</v>
      </c>
      <c r="M378" s="24">
        <f t="shared" si="54"/>
        <v>18720</v>
      </c>
      <c r="N378" s="24">
        <v>0</v>
      </c>
      <c r="O378" s="240">
        <f t="shared" si="53"/>
        <v>0.0005825467137425819</v>
      </c>
    </row>
    <row r="379" spans="1:15" ht="15" customHeight="1">
      <c r="A379" s="26"/>
      <c r="B379" s="18" t="s">
        <v>314</v>
      </c>
      <c r="C379" s="11" t="s">
        <v>355</v>
      </c>
      <c r="D379" s="8"/>
      <c r="E379" s="8"/>
      <c r="F379" s="8"/>
      <c r="G379" s="8"/>
      <c r="H379" s="20">
        <v>2020</v>
      </c>
      <c r="I379" s="20">
        <v>0</v>
      </c>
      <c r="J379" s="20">
        <v>0</v>
      </c>
      <c r="K379" s="8">
        <v>3369</v>
      </c>
      <c r="L379" s="8">
        <v>0</v>
      </c>
      <c r="M379" s="24">
        <f t="shared" si="54"/>
        <v>3369</v>
      </c>
      <c r="N379" s="24">
        <v>0</v>
      </c>
      <c r="O379" s="240">
        <f t="shared" si="53"/>
        <v>0.00010483973710463454</v>
      </c>
    </row>
    <row r="380" spans="1:15" ht="15.75" customHeight="1">
      <c r="A380" s="26"/>
      <c r="B380" s="18" t="s">
        <v>289</v>
      </c>
      <c r="C380" s="11" t="s">
        <v>290</v>
      </c>
      <c r="D380" s="8"/>
      <c r="E380" s="8"/>
      <c r="F380" s="8"/>
      <c r="G380" s="8"/>
      <c r="H380" s="20">
        <v>276</v>
      </c>
      <c r="I380" s="20">
        <v>0</v>
      </c>
      <c r="J380" s="20">
        <v>0</v>
      </c>
      <c r="K380" s="8">
        <v>459</v>
      </c>
      <c r="L380" s="8">
        <v>0</v>
      </c>
      <c r="M380" s="24">
        <f t="shared" si="54"/>
        <v>459</v>
      </c>
      <c r="N380" s="24">
        <v>0</v>
      </c>
      <c r="O380" s="240">
        <f t="shared" si="53"/>
        <v>1.4283597308111384E-05</v>
      </c>
    </row>
    <row r="381" spans="1:15" ht="15.75" customHeight="1">
      <c r="A381" s="26"/>
      <c r="B381" s="18" t="s">
        <v>37</v>
      </c>
      <c r="C381" s="11" t="s">
        <v>733</v>
      </c>
      <c r="D381" s="8"/>
      <c r="E381" s="8"/>
      <c r="F381" s="8"/>
      <c r="G381" s="8"/>
      <c r="H381" s="20"/>
      <c r="I381" s="20"/>
      <c r="J381" s="20"/>
      <c r="K381" s="8">
        <v>5000</v>
      </c>
      <c r="L381" s="8">
        <v>0</v>
      </c>
      <c r="M381" s="24">
        <f t="shared" si="54"/>
        <v>5000</v>
      </c>
      <c r="N381" s="24">
        <v>0</v>
      </c>
      <c r="O381" s="240">
        <f t="shared" si="53"/>
        <v>0.00015559474191842467</v>
      </c>
    </row>
    <row r="382" spans="1:15" ht="15.75" customHeight="1">
      <c r="A382" s="26"/>
      <c r="B382" s="18" t="s">
        <v>297</v>
      </c>
      <c r="C382" s="8" t="s">
        <v>298</v>
      </c>
      <c r="D382" s="8"/>
      <c r="E382" s="8"/>
      <c r="F382" s="8"/>
      <c r="G382" s="8"/>
      <c r="H382" s="20"/>
      <c r="I382" s="20"/>
      <c r="J382" s="20"/>
      <c r="K382" s="8">
        <v>22172</v>
      </c>
      <c r="L382" s="8">
        <v>0</v>
      </c>
      <c r="M382" s="24">
        <f t="shared" si="54"/>
        <v>22172</v>
      </c>
      <c r="N382" s="24">
        <v>0</v>
      </c>
      <c r="O382" s="240">
        <f t="shared" si="53"/>
        <v>0.0006899693235630623</v>
      </c>
    </row>
    <row r="383" spans="1:15" ht="15.75" customHeight="1">
      <c r="A383" s="26" t="s">
        <v>471</v>
      </c>
      <c r="B383" s="18"/>
      <c r="C383" s="7" t="s">
        <v>357</v>
      </c>
      <c r="D383" s="8"/>
      <c r="E383" s="8"/>
      <c r="F383" s="8"/>
      <c r="G383" s="8"/>
      <c r="H383" s="20"/>
      <c r="I383" s="20"/>
      <c r="J383" s="20"/>
      <c r="K383" s="7">
        <f>K384</f>
        <v>0</v>
      </c>
      <c r="L383" s="7">
        <f>L384</f>
        <v>0</v>
      </c>
      <c r="M383" s="7">
        <f>M384</f>
        <v>0</v>
      </c>
      <c r="N383" s="7">
        <f>N384</f>
        <v>0</v>
      </c>
      <c r="O383" s="240">
        <f t="shared" si="53"/>
        <v>0</v>
      </c>
    </row>
    <row r="384" spans="1:15" ht="15.75" customHeight="1">
      <c r="A384" s="26"/>
      <c r="B384" s="31" t="s">
        <v>303</v>
      </c>
      <c r="C384" s="20" t="s">
        <v>304</v>
      </c>
      <c r="D384" s="8"/>
      <c r="E384" s="8"/>
      <c r="F384" s="8"/>
      <c r="G384" s="8"/>
      <c r="H384" s="20"/>
      <c r="I384" s="20"/>
      <c r="J384" s="20"/>
      <c r="K384" s="8">
        <v>0</v>
      </c>
      <c r="L384" s="8">
        <v>0</v>
      </c>
      <c r="M384" s="24">
        <v>0</v>
      </c>
      <c r="N384" s="24">
        <v>0</v>
      </c>
      <c r="O384" s="240">
        <f t="shared" si="53"/>
        <v>0</v>
      </c>
    </row>
    <row r="385" spans="1:181" s="295" customFormat="1" ht="15.75" customHeight="1">
      <c r="A385" s="294" t="s">
        <v>561</v>
      </c>
      <c r="B385" s="291"/>
      <c r="C385" s="288" t="s">
        <v>704</v>
      </c>
      <c r="D385" s="288"/>
      <c r="E385" s="288"/>
      <c r="F385" s="288"/>
      <c r="G385" s="288"/>
      <c r="H385" s="288"/>
      <c r="I385" s="288"/>
      <c r="J385" s="288"/>
      <c r="K385" s="288">
        <f>K386</f>
        <v>72046</v>
      </c>
      <c r="L385" s="288">
        <f>L386</f>
        <v>0</v>
      </c>
      <c r="M385" s="288">
        <f>M386</f>
        <v>72046</v>
      </c>
      <c r="N385" s="288">
        <f>N386</f>
        <v>0</v>
      </c>
      <c r="O385" s="285">
        <f t="shared" si="53"/>
        <v>0.0022419957552509647</v>
      </c>
      <c r="P385" s="300"/>
      <c r="Q385" s="300"/>
      <c r="R385" s="300"/>
      <c r="S385" s="300"/>
      <c r="T385" s="300"/>
      <c r="U385" s="300"/>
      <c r="V385" s="300"/>
      <c r="W385" s="300"/>
      <c r="X385" s="300"/>
      <c r="Y385" s="300"/>
      <c r="Z385" s="300"/>
      <c r="AA385" s="300"/>
      <c r="AB385" s="300"/>
      <c r="AC385" s="300"/>
      <c r="AD385" s="300"/>
      <c r="AE385" s="300"/>
      <c r="AF385" s="300"/>
      <c r="AG385" s="300"/>
      <c r="AH385" s="300"/>
      <c r="AI385" s="300"/>
      <c r="AJ385" s="300"/>
      <c r="AK385" s="300"/>
      <c r="AL385" s="300"/>
      <c r="AM385" s="300"/>
      <c r="AN385" s="300"/>
      <c r="AO385" s="300"/>
      <c r="AP385" s="300"/>
      <c r="AQ385" s="300"/>
      <c r="AR385" s="300"/>
      <c r="AS385" s="300"/>
      <c r="AT385" s="300"/>
      <c r="AU385" s="300"/>
      <c r="AV385" s="300"/>
      <c r="AW385" s="300"/>
      <c r="AX385" s="300"/>
      <c r="AY385" s="300"/>
      <c r="AZ385" s="300"/>
      <c r="BA385" s="300"/>
      <c r="BB385" s="300"/>
      <c r="BC385" s="300"/>
      <c r="BD385" s="300"/>
      <c r="BE385" s="300"/>
      <c r="BF385" s="300"/>
      <c r="BG385" s="300"/>
      <c r="BH385" s="300"/>
      <c r="BI385" s="300"/>
      <c r="BJ385" s="300"/>
      <c r="BK385" s="300"/>
      <c r="BL385" s="300"/>
      <c r="BM385" s="300"/>
      <c r="BN385" s="300"/>
      <c r="BO385" s="300"/>
      <c r="BP385" s="300"/>
      <c r="BQ385" s="300"/>
      <c r="BR385" s="300"/>
      <c r="BS385" s="300"/>
      <c r="BT385" s="300"/>
      <c r="BU385" s="300"/>
      <c r="BV385" s="300"/>
      <c r="BW385" s="300"/>
      <c r="BX385" s="300"/>
      <c r="BY385" s="300"/>
      <c r="BZ385" s="300"/>
      <c r="CA385" s="300"/>
      <c r="CB385" s="300"/>
      <c r="CC385" s="300"/>
      <c r="CD385" s="300"/>
      <c r="CE385" s="300"/>
      <c r="CF385" s="300"/>
      <c r="CG385" s="300"/>
      <c r="CH385" s="300"/>
      <c r="CI385" s="300"/>
      <c r="CJ385" s="300"/>
      <c r="CK385" s="300"/>
      <c r="CL385" s="300"/>
      <c r="CM385" s="300"/>
      <c r="CN385" s="300"/>
      <c r="CO385" s="300"/>
      <c r="CP385" s="300"/>
      <c r="CQ385" s="300"/>
      <c r="CR385" s="300"/>
      <c r="CS385" s="300"/>
      <c r="CT385" s="300"/>
      <c r="CU385" s="300"/>
      <c r="CV385" s="300"/>
      <c r="CW385" s="300"/>
      <c r="CX385" s="300"/>
      <c r="CY385" s="300"/>
      <c r="CZ385" s="300"/>
      <c r="DA385" s="300"/>
      <c r="DB385" s="300"/>
      <c r="DC385" s="300"/>
      <c r="DD385" s="300"/>
      <c r="DE385" s="300"/>
      <c r="DF385" s="300"/>
      <c r="DG385" s="300"/>
      <c r="DH385" s="300"/>
      <c r="DI385" s="300"/>
      <c r="DJ385" s="300"/>
      <c r="DK385" s="300"/>
      <c r="DL385" s="300"/>
      <c r="DM385" s="300"/>
      <c r="DN385" s="300"/>
      <c r="DO385" s="300"/>
      <c r="DP385" s="300"/>
      <c r="DQ385" s="300"/>
      <c r="DR385" s="300"/>
      <c r="DS385" s="300"/>
      <c r="DT385" s="300"/>
      <c r="DU385" s="300"/>
      <c r="DV385" s="300"/>
      <c r="DW385" s="300"/>
      <c r="DX385" s="300"/>
      <c r="DY385" s="300"/>
      <c r="DZ385" s="300"/>
      <c r="EA385" s="300"/>
      <c r="EB385" s="300"/>
      <c r="EC385" s="300"/>
      <c r="ED385" s="300"/>
      <c r="EE385" s="300"/>
      <c r="EF385" s="300"/>
      <c r="EG385" s="300"/>
      <c r="EH385" s="300"/>
      <c r="EI385" s="300"/>
      <c r="EJ385" s="300"/>
      <c r="EK385" s="300"/>
      <c r="EL385" s="300"/>
      <c r="EM385" s="300"/>
      <c r="EN385" s="300"/>
      <c r="EO385" s="300"/>
      <c r="EP385" s="300"/>
      <c r="EQ385" s="300"/>
      <c r="ER385" s="300"/>
      <c r="ES385" s="300"/>
      <c r="ET385" s="300"/>
      <c r="EU385" s="300"/>
      <c r="EV385" s="300"/>
      <c r="EW385" s="300"/>
      <c r="EX385" s="300"/>
      <c r="EY385" s="300"/>
      <c r="EZ385" s="300"/>
      <c r="FA385" s="300"/>
      <c r="FB385" s="300"/>
      <c r="FC385" s="300"/>
      <c r="FD385" s="300"/>
      <c r="FE385" s="300"/>
      <c r="FF385" s="300"/>
      <c r="FG385" s="300"/>
      <c r="FH385" s="300"/>
      <c r="FI385" s="300"/>
      <c r="FJ385" s="300"/>
      <c r="FK385" s="300"/>
      <c r="FL385" s="300"/>
      <c r="FM385" s="300"/>
      <c r="FN385" s="300"/>
      <c r="FO385" s="300"/>
      <c r="FP385" s="300"/>
      <c r="FQ385" s="300"/>
      <c r="FR385" s="300"/>
      <c r="FS385" s="300"/>
      <c r="FT385" s="300"/>
      <c r="FU385" s="300"/>
      <c r="FV385" s="300"/>
      <c r="FW385" s="300"/>
      <c r="FX385" s="300"/>
      <c r="FY385" s="300"/>
    </row>
    <row r="386" spans="1:15" ht="15.75" customHeight="1">
      <c r="A386" s="26" t="s">
        <v>562</v>
      </c>
      <c r="B386" s="18"/>
      <c r="C386" s="8" t="s">
        <v>563</v>
      </c>
      <c r="D386" s="8"/>
      <c r="E386" s="8"/>
      <c r="F386" s="8"/>
      <c r="G386" s="8"/>
      <c r="H386" s="20"/>
      <c r="I386" s="20"/>
      <c r="J386" s="20"/>
      <c r="K386" s="8">
        <f>SUM(K387:K394)</f>
        <v>72046</v>
      </c>
      <c r="L386" s="8">
        <v>0</v>
      </c>
      <c r="M386" s="8">
        <f>SUM(M387:M394)</f>
        <v>72046</v>
      </c>
      <c r="N386" s="8">
        <f>SUM(N387:N394)</f>
        <v>0</v>
      </c>
      <c r="O386" s="240">
        <f t="shared" si="53"/>
        <v>0.0022419957552509647</v>
      </c>
    </row>
    <row r="387" spans="1:15" ht="15.75" customHeight="1">
      <c r="A387" s="26"/>
      <c r="B387" s="18" t="s">
        <v>564</v>
      </c>
      <c r="C387" s="8" t="s">
        <v>565</v>
      </c>
      <c r="D387" s="8"/>
      <c r="E387" s="8"/>
      <c r="F387" s="8"/>
      <c r="G387" s="8"/>
      <c r="H387" s="20"/>
      <c r="I387" s="20"/>
      <c r="J387" s="20"/>
      <c r="K387" s="8">
        <v>49350</v>
      </c>
      <c r="L387" s="8">
        <v>0</v>
      </c>
      <c r="M387" s="24">
        <f>K387</f>
        <v>49350</v>
      </c>
      <c r="N387" s="24">
        <v>0</v>
      </c>
      <c r="O387" s="240">
        <f t="shared" si="53"/>
        <v>0.0015357201027348514</v>
      </c>
    </row>
    <row r="388" spans="1:15" ht="15.75" customHeight="1">
      <c r="A388" s="26"/>
      <c r="B388" s="18" t="s">
        <v>566</v>
      </c>
      <c r="C388" s="8" t="s">
        <v>565</v>
      </c>
      <c r="D388" s="8"/>
      <c r="E388" s="8"/>
      <c r="F388" s="8"/>
      <c r="G388" s="8"/>
      <c r="H388" s="20"/>
      <c r="I388" s="20"/>
      <c r="J388" s="20"/>
      <c r="K388" s="8">
        <v>16450</v>
      </c>
      <c r="L388" s="8">
        <v>0</v>
      </c>
      <c r="M388" s="24">
        <f aca="true" t="shared" si="55" ref="M388:M398">K388</f>
        <v>16450</v>
      </c>
      <c r="N388" s="24">
        <v>0</v>
      </c>
      <c r="O388" s="240">
        <f t="shared" si="53"/>
        <v>0.0005119067009116172</v>
      </c>
    </row>
    <row r="389" spans="1:15" ht="15.75" customHeight="1">
      <c r="A389" s="26"/>
      <c r="B389" s="18" t="s">
        <v>567</v>
      </c>
      <c r="C389" s="8" t="s">
        <v>52</v>
      </c>
      <c r="D389" s="8"/>
      <c r="E389" s="8"/>
      <c r="F389" s="8"/>
      <c r="G389" s="8"/>
      <c r="H389" s="20"/>
      <c r="I389" s="20"/>
      <c r="J389" s="20"/>
      <c r="K389" s="8">
        <v>1614</v>
      </c>
      <c r="L389" s="8">
        <v>0</v>
      </c>
      <c r="M389" s="24">
        <f t="shared" si="55"/>
        <v>1614</v>
      </c>
      <c r="N389" s="24">
        <v>0</v>
      </c>
      <c r="O389" s="240">
        <f t="shared" si="53"/>
        <v>5.022598269126748E-05</v>
      </c>
    </row>
    <row r="390" spans="1:15" ht="15.75" customHeight="1">
      <c r="A390" s="26"/>
      <c r="B390" s="18" t="s">
        <v>568</v>
      </c>
      <c r="C390" s="8" t="s">
        <v>52</v>
      </c>
      <c r="D390" s="8"/>
      <c r="E390" s="8"/>
      <c r="F390" s="8"/>
      <c r="G390" s="8"/>
      <c r="H390" s="20"/>
      <c r="I390" s="20"/>
      <c r="J390" s="20"/>
      <c r="K390" s="8">
        <v>538</v>
      </c>
      <c r="L390" s="8">
        <v>0</v>
      </c>
      <c r="M390" s="24">
        <f t="shared" si="55"/>
        <v>538</v>
      </c>
      <c r="N390" s="24">
        <v>0</v>
      </c>
      <c r="O390" s="240">
        <f t="shared" si="53"/>
        <v>1.6741994230422493E-05</v>
      </c>
    </row>
    <row r="391" spans="1:15" ht="15.75" customHeight="1">
      <c r="A391" s="26"/>
      <c r="B391" s="18" t="s">
        <v>569</v>
      </c>
      <c r="C391" s="8" t="s">
        <v>292</v>
      </c>
      <c r="D391" s="8"/>
      <c r="E391" s="8"/>
      <c r="F391" s="8"/>
      <c r="G391" s="8"/>
      <c r="H391" s="20"/>
      <c r="I391" s="20"/>
      <c r="J391" s="20"/>
      <c r="K391" s="8">
        <v>70</v>
      </c>
      <c r="L391" s="8">
        <v>0</v>
      </c>
      <c r="M391" s="24">
        <f t="shared" si="55"/>
        <v>70</v>
      </c>
      <c r="N391" s="24">
        <v>0</v>
      </c>
      <c r="O391" s="240">
        <f t="shared" si="53"/>
        <v>2.1783263868579454E-06</v>
      </c>
    </row>
    <row r="392" spans="1:15" ht="15.75" customHeight="1">
      <c r="A392" s="26"/>
      <c r="B392" s="18" t="s">
        <v>572</v>
      </c>
      <c r="C392" s="8" t="s">
        <v>292</v>
      </c>
      <c r="D392" s="8"/>
      <c r="E392" s="8"/>
      <c r="F392" s="8"/>
      <c r="G392" s="8"/>
      <c r="H392" s="20"/>
      <c r="I392" s="20"/>
      <c r="J392" s="20"/>
      <c r="K392" s="8">
        <v>24</v>
      </c>
      <c r="L392" s="8">
        <v>0</v>
      </c>
      <c r="M392" s="24">
        <f t="shared" si="55"/>
        <v>24</v>
      </c>
      <c r="N392" s="24">
        <v>0</v>
      </c>
      <c r="O392" s="240">
        <f t="shared" si="53"/>
        <v>7.468547612084384E-07</v>
      </c>
    </row>
    <row r="393" spans="1:15" ht="15" customHeight="1">
      <c r="A393" s="26"/>
      <c r="B393" s="18" t="s">
        <v>570</v>
      </c>
      <c r="C393" s="8" t="s">
        <v>385</v>
      </c>
      <c r="D393" s="8"/>
      <c r="E393" s="8"/>
      <c r="F393" s="8"/>
      <c r="G393" s="8"/>
      <c r="H393" s="20"/>
      <c r="I393" s="20"/>
      <c r="J393" s="20"/>
      <c r="K393" s="8">
        <v>3000</v>
      </c>
      <c r="L393" s="8">
        <v>0</v>
      </c>
      <c r="M393" s="24">
        <f t="shared" si="55"/>
        <v>3000</v>
      </c>
      <c r="N393" s="24">
        <v>0</v>
      </c>
      <c r="O393" s="240">
        <f t="shared" si="53"/>
        <v>9.33568451510548E-05</v>
      </c>
    </row>
    <row r="394" spans="1:115" ht="15.75" customHeight="1">
      <c r="A394" s="26"/>
      <c r="B394" s="18" t="s">
        <v>571</v>
      </c>
      <c r="C394" s="8" t="s">
        <v>385</v>
      </c>
      <c r="D394" s="8"/>
      <c r="E394" s="8"/>
      <c r="F394" s="8"/>
      <c r="G394" s="8"/>
      <c r="H394" s="20"/>
      <c r="I394" s="20"/>
      <c r="J394" s="20"/>
      <c r="K394" s="8">
        <v>1000</v>
      </c>
      <c r="L394" s="8">
        <v>0</v>
      </c>
      <c r="M394" s="24">
        <f t="shared" si="55"/>
        <v>1000</v>
      </c>
      <c r="N394" s="24">
        <v>0</v>
      </c>
      <c r="O394" s="240">
        <f t="shared" si="53"/>
        <v>3.1118948383684935E-05</v>
      </c>
      <c r="P394" s="301"/>
      <c r="Q394" s="301"/>
      <c r="R394" s="301"/>
      <c r="S394" s="301"/>
      <c r="T394" s="301"/>
      <c r="U394" s="301"/>
      <c r="V394" s="301"/>
      <c r="W394" s="301"/>
      <c r="X394" s="301"/>
      <c r="Y394" s="301"/>
      <c r="Z394" s="301"/>
      <c r="AA394" s="301"/>
      <c r="AB394" s="301"/>
      <c r="AC394" s="301"/>
      <c r="AD394" s="301"/>
      <c r="AE394" s="301"/>
      <c r="AF394" s="301"/>
      <c r="AG394" s="301"/>
      <c r="AH394" s="301"/>
      <c r="AI394" s="301"/>
      <c r="AJ394" s="301"/>
      <c r="AK394" s="301"/>
      <c r="AL394" s="301"/>
      <c r="AM394" s="301"/>
      <c r="AN394" s="301"/>
      <c r="AO394" s="301"/>
      <c r="AP394" s="301"/>
      <c r="AQ394" s="301"/>
      <c r="AR394" s="301"/>
      <c r="AS394" s="301"/>
      <c r="AT394" s="301"/>
      <c r="AU394" s="301"/>
      <c r="AV394" s="301"/>
      <c r="AW394" s="301"/>
      <c r="AX394" s="301"/>
      <c r="AY394" s="301"/>
      <c r="AZ394" s="301"/>
      <c r="BA394" s="301"/>
      <c r="BB394" s="301"/>
      <c r="BC394" s="301"/>
      <c r="BD394" s="301"/>
      <c r="BE394" s="301"/>
      <c r="BF394" s="301"/>
      <c r="BG394" s="301"/>
      <c r="BH394" s="301"/>
      <c r="BI394" s="301"/>
      <c r="BJ394" s="301"/>
      <c r="BK394" s="301"/>
      <c r="BL394" s="301"/>
      <c r="BM394" s="301"/>
      <c r="BN394" s="301"/>
      <c r="BO394" s="301"/>
      <c r="BP394" s="301"/>
      <c r="BQ394" s="301"/>
      <c r="BR394" s="301"/>
      <c r="BS394" s="301"/>
      <c r="BT394" s="301"/>
      <c r="BU394" s="301"/>
      <c r="BV394" s="301"/>
      <c r="BW394" s="301"/>
      <c r="BX394" s="301"/>
      <c r="BY394" s="301"/>
      <c r="BZ394" s="301"/>
      <c r="CA394" s="301"/>
      <c r="CB394" s="301"/>
      <c r="CC394" s="301"/>
      <c r="CD394" s="301"/>
      <c r="CE394" s="301"/>
      <c r="CF394" s="301"/>
      <c r="CG394" s="301"/>
      <c r="CH394" s="301"/>
      <c r="CI394" s="301"/>
      <c r="CJ394" s="301"/>
      <c r="CK394" s="301"/>
      <c r="CL394" s="301"/>
      <c r="CM394" s="301"/>
      <c r="CN394" s="301"/>
      <c r="CO394" s="301"/>
      <c r="CP394" s="301"/>
      <c r="CQ394" s="301"/>
      <c r="CR394" s="301"/>
      <c r="CS394" s="301"/>
      <c r="CT394" s="301"/>
      <c r="CU394" s="301"/>
      <c r="CV394" s="301"/>
      <c r="CW394" s="301"/>
      <c r="CX394" s="301"/>
      <c r="CY394" s="301"/>
      <c r="CZ394" s="301"/>
      <c r="DA394" s="301"/>
      <c r="DB394" s="301"/>
      <c r="DC394" s="301"/>
      <c r="DD394" s="301"/>
      <c r="DE394" s="301"/>
      <c r="DF394" s="301"/>
      <c r="DG394" s="301"/>
      <c r="DH394" s="301"/>
      <c r="DI394" s="301"/>
      <c r="DJ394" s="301"/>
      <c r="DK394" s="301"/>
    </row>
    <row r="395" spans="1:115" ht="16.5" customHeight="1" hidden="1">
      <c r="A395" s="34"/>
      <c r="B395" s="31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4">
        <f t="shared" si="55"/>
        <v>0</v>
      </c>
      <c r="N395" s="21">
        <v>0</v>
      </c>
      <c r="O395" s="240">
        <f t="shared" si="53"/>
        <v>0</v>
      </c>
      <c r="P395" s="301"/>
      <c r="Q395" s="301"/>
      <c r="R395" s="301"/>
      <c r="S395" s="301"/>
      <c r="T395" s="301"/>
      <c r="U395" s="301"/>
      <c r="V395" s="301"/>
      <c r="W395" s="301"/>
      <c r="X395" s="301"/>
      <c r="Y395" s="301"/>
      <c r="Z395" s="301"/>
      <c r="AA395" s="301"/>
      <c r="AB395" s="301"/>
      <c r="AC395" s="301"/>
      <c r="AD395" s="301"/>
      <c r="AE395" s="301"/>
      <c r="AF395" s="301"/>
      <c r="AG395" s="301"/>
      <c r="AH395" s="301"/>
      <c r="AI395" s="301"/>
      <c r="AJ395" s="301"/>
      <c r="AK395" s="301"/>
      <c r="AL395" s="301"/>
      <c r="AM395" s="301"/>
      <c r="AN395" s="301"/>
      <c r="AO395" s="301"/>
      <c r="AP395" s="301"/>
      <c r="AQ395" s="301"/>
      <c r="AR395" s="301"/>
      <c r="AS395" s="301"/>
      <c r="AT395" s="301"/>
      <c r="AU395" s="301"/>
      <c r="AV395" s="301"/>
      <c r="AW395" s="301"/>
      <c r="AX395" s="301"/>
      <c r="AY395" s="301"/>
      <c r="AZ395" s="301"/>
      <c r="BA395" s="301"/>
      <c r="BB395" s="301"/>
      <c r="BC395" s="301"/>
      <c r="BD395" s="301"/>
      <c r="BE395" s="301"/>
      <c r="BF395" s="301"/>
      <c r="BG395" s="301"/>
      <c r="BH395" s="301"/>
      <c r="BI395" s="301"/>
      <c r="BJ395" s="301"/>
      <c r="BK395" s="301"/>
      <c r="BL395" s="301"/>
      <c r="BM395" s="301"/>
      <c r="BN395" s="301"/>
      <c r="BO395" s="301"/>
      <c r="BP395" s="301"/>
      <c r="BQ395" s="301"/>
      <c r="BR395" s="301"/>
      <c r="BS395" s="301"/>
      <c r="BT395" s="301"/>
      <c r="BU395" s="301"/>
      <c r="BV395" s="301"/>
      <c r="BW395" s="301"/>
      <c r="BX395" s="301"/>
      <c r="BY395" s="301"/>
      <c r="BZ395" s="301"/>
      <c r="CA395" s="301"/>
      <c r="CB395" s="301"/>
      <c r="CC395" s="301"/>
      <c r="CD395" s="301"/>
      <c r="CE395" s="301"/>
      <c r="CF395" s="301"/>
      <c r="CG395" s="301"/>
      <c r="CH395" s="301"/>
      <c r="CI395" s="301"/>
      <c r="CJ395" s="301"/>
      <c r="CK395" s="301"/>
      <c r="CL395" s="301"/>
      <c r="CM395" s="301"/>
      <c r="CN395" s="301"/>
      <c r="CO395" s="301"/>
      <c r="CP395" s="301"/>
      <c r="CQ395" s="301"/>
      <c r="CR395" s="301"/>
      <c r="CS395" s="301"/>
      <c r="CT395" s="301"/>
      <c r="CU395" s="301"/>
      <c r="CV395" s="301"/>
      <c r="CW395" s="301"/>
      <c r="CX395" s="301"/>
      <c r="CY395" s="301"/>
      <c r="CZ395" s="301"/>
      <c r="DA395" s="301"/>
      <c r="DB395" s="301"/>
      <c r="DC395" s="301"/>
      <c r="DD395" s="301"/>
      <c r="DE395" s="301"/>
      <c r="DF395" s="301"/>
      <c r="DG395" s="301"/>
      <c r="DH395" s="301"/>
      <c r="DI395" s="301"/>
      <c r="DJ395" s="301"/>
      <c r="DK395" s="301"/>
    </row>
    <row r="396" spans="1:115" ht="15.75" customHeight="1" hidden="1">
      <c r="A396" s="34"/>
      <c r="B396" s="31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4">
        <f t="shared" si="55"/>
        <v>0</v>
      </c>
      <c r="N396" s="21">
        <v>0</v>
      </c>
      <c r="O396" s="240">
        <f t="shared" si="53"/>
        <v>0</v>
      </c>
      <c r="P396" s="301"/>
      <c r="Q396" s="301"/>
      <c r="R396" s="301"/>
      <c r="S396" s="301"/>
      <c r="T396" s="301"/>
      <c r="U396" s="301"/>
      <c r="V396" s="301"/>
      <c r="W396" s="301"/>
      <c r="X396" s="301"/>
      <c r="Y396" s="301"/>
      <c r="Z396" s="301"/>
      <c r="AA396" s="301"/>
      <c r="AB396" s="301"/>
      <c r="AC396" s="301"/>
      <c r="AD396" s="301"/>
      <c r="AE396" s="301"/>
      <c r="AF396" s="301"/>
      <c r="AG396" s="301"/>
      <c r="AH396" s="301"/>
      <c r="AI396" s="301"/>
      <c r="AJ396" s="301"/>
      <c r="AK396" s="301"/>
      <c r="AL396" s="301"/>
      <c r="AM396" s="301"/>
      <c r="AN396" s="301"/>
      <c r="AO396" s="301"/>
      <c r="AP396" s="301"/>
      <c r="AQ396" s="301"/>
      <c r="AR396" s="301"/>
      <c r="AS396" s="301"/>
      <c r="AT396" s="301"/>
      <c r="AU396" s="301"/>
      <c r="AV396" s="301"/>
      <c r="AW396" s="301"/>
      <c r="AX396" s="301"/>
      <c r="AY396" s="301"/>
      <c r="AZ396" s="301"/>
      <c r="BA396" s="301"/>
      <c r="BB396" s="301"/>
      <c r="BC396" s="301"/>
      <c r="BD396" s="301"/>
      <c r="BE396" s="301"/>
      <c r="BF396" s="301"/>
      <c r="BG396" s="301"/>
      <c r="BH396" s="301"/>
      <c r="BI396" s="301"/>
      <c r="BJ396" s="301"/>
      <c r="BK396" s="301"/>
      <c r="BL396" s="301"/>
      <c r="BM396" s="301"/>
      <c r="BN396" s="301"/>
      <c r="BO396" s="301"/>
      <c r="BP396" s="301"/>
      <c r="BQ396" s="301"/>
      <c r="BR396" s="301"/>
      <c r="BS396" s="301"/>
      <c r="BT396" s="301"/>
      <c r="BU396" s="301"/>
      <c r="BV396" s="301"/>
      <c r="BW396" s="301"/>
      <c r="BX396" s="301"/>
      <c r="BY396" s="301"/>
      <c r="BZ396" s="301"/>
      <c r="CA396" s="301"/>
      <c r="CB396" s="301"/>
      <c r="CC396" s="301"/>
      <c r="CD396" s="301"/>
      <c r="CE396" s="301"/>
      <c r="CF396" s="301"/>
      <c r="CG396" s="301"/>
      <c r="CH396" s="301"/>
      <c r="CI396" s="301"/>
      <c r="CJ396" s="301"/>
      <c r="CK396" s="301"/>
      <c r="CL396" s="301"/>
      <c r="CM396" s="301"/>
      <c r="CN396" s="301"/>
      <c r="CO396" s="301"/>
      <c r="CP396" s="301"/>
      <c r="CQ396" s="301"/>
      <c r="CR396" s="301"/>
      <c r="CS396" s="301"/>
      <c r="CT396" s="301"/>
      <c r="CU396" s="301"/>
      <c r="CV396" s="301"/>
      <c r="CW396" s="301"/>
      <c r="CX396" s="301"/>
      <c r="CY396" s="301"/>
      <c r="CZ396" s="301"/>
      <c r="DA396" s="301"/>
      <c r="DB396" s="301"/>
      <c r="DC396" s="301"/>
      <c r="DD396" s="301"/>
      <c r="DE396" s="301"/>
      <c r="DF396" s="301"/>
      <c r="DG396" s="301"/>
      <c r="DH396" s="301"/>
      <c r="DI396" s="301"/>
      <c r="DJ396" s="301"/>
      <c r="DK396" s="301"/>
    </row>
    <row r="397" spans="1:115" ht="15" customHeight="1" hidden="1">
      <c r="A397" s="34"/>
      <c r="B397" s="31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4">
        <f t="shared" si="55"/>
        <v>0</v>
      </c>
      <c r="N397" s="21">
        <v>0</v>
      </c>
      <c r="O397" s="240">
        <f t="shared" si="53"/>
        <v>0</v>
      </c>
      <c r="P397" s="301"/>
      <c r="Q397" s="301"/>
      <c r="R397" s="301"/>
      <c r="S397" s="301"/>
      <c r="T397" s="301"/>
      <c r="U397" s="301"/>
      <c r="V397" s="301"/>
      <c r="W397" s="301"/>
      <c r="X397" s="301"/>
      <c r="Y397" s="301"/>
      <c r="Z397" s="301"/>
      <c r="AA397" s="301"/>
      <c r="AB397" s="301"/>
      <c r="AC397" s="301"/>
      <c r="AD397" s="301"/>
      <c r="AE397" s="301"/>
      <c r="AF397" s="301"/>
      <c r="AG397" s="301"/>
      <c r="AH397" s="301"/>
      <c r="AI397" s="301"/>
      <c r="AJ397" s="301"/>
      <c r="AK397" s="301"/>
      <c r="AL397" s="301"/>
      <c r="AM397" s="301"/>
      <c r="AN397" s="301"/>
      <c r="AO397" s="301"/>
      <c r="AP397" s="301"/>
      <c r="AQ397" s="301"/>
      <c r="AR397" s="301"/>
      <c r="AS397" s="301"/>
      <c r="AT397" s="301"/>
      <c r="AU397" s="301"/>
      <c r="AV397" s="301"/>
      <c r="AW397" s="301"/>
      <c r="AX397" s="301"/>
      <c r="AY397" s="301"/>
      <c r="AZ397" s="301"/>
      <c r="BA397" s="301"/>
      <c r="BB397" s="301"/>
      <c r="BC397" s="301"/>
      <c r="BD397" s="301"/>
      <c r="BE397" s="301"/>
      <c r="BF397" s="301"/>
      <c r="BG397" s="301"/>
      <c r="BH397" s="301"/>
      <c r="BI397" s="301"/>
      <c r="BJ397" s="301"/>
      <c r="BK397" s="301"/>
      <c r="BL397" s="301"/>
      <c r="BM397" s="301"/>
      <c r="BN397" s="301"/>
      <c r="BO397" s="301"/>
      <c r="BP397" s="301"/>
      <c r="BQ397" s="301"/>
      <c r="BR397" s="301"/>
      <c r="BS397" s="301"/>
      <c r="BT397" s="301"/>
      <c r="BU397" s="301"/>
      <c r="BV397" s="301"/>
      <c r="BW397" s="301"/>
      <c r="BX397" s="301"/>
      <c r="BY397" s="301"/>
      <c r="BZ397" s="301"/>
      <c r="CA397" s="301"/>
      <c r="CB397" s="301"/>
      <c r="CC397" s="301"/>
      <c r="CD397" s="301"/>
      <c r="CE397" s="301"/>
      <c r="CF397" s="301"/>
      <c r="CG397" s="301"/>
      <c r="CH397" s="301"/>
      <c r="CI397" s="301"/>
      <c r="CJ397" s="301"/>
      <c r="CK397" s="301"/>
      <c r="CL397" s="301"/>
      <c r="CM397" s="301"/>
      <c r="CN397" s="301"/>
      <c r="CO397" s="301"/>
      <c r="CP397" s="301"/>
      <c r="CQ397" s="301"/>
      <c r="CR397" s="301"/>
      <c r="CS397" s="301"/>
      <c r="CT397" s="301"/>
      <c r="CU397" s="301"/>
      <c r="CV397" s="301"/>
      <c r="CW397" s="301"/>
      <c r="CX397" s="301"/>
      <c r="CY397" s="301"/>
      <c r="CZ397" s="301"/>
      <c r="DA397" s="301"/>
      <c r="DB397" s="301"/>
      <c r="DC397" s="301"/>
      <c r="DD397" s="301"/>
      <c r="DE397" s="301"/>
      <c r="DF397" s="301"/>
      <c r="DG397" s="301"/>
      <c r="DH397" s="301"/>
      <c r="DI397" s="301"/>
      <c r="DJ397" s="301"/>
      <c r="DK397" s="301"/>
    </row>
    <row r="398" spans="1:115" ht="14.25" customHeight="1" hidden="1">
      <c r="A398" s="26"/>
      <c r="B398" s="18"/>
      <c r="C398" s="8" t="s">
        <v>422</v>
      </c>
      <c r="D398" s="8">
        <v>75717</v>
      </c>
      <c r="E398" s="8">
        <v>32249</v>
      </c>
      <c r="F398" s="8">
        <v>8206</v>
      </c>
      <c r="G398" s="8">
        <v>0</v>
      </c>
      <c r="H398" s="20"/>
      <c r="I398" s="20"/>
      <c r="J398" s="20"/>
      <c r="K398" s="20"/>
      <c r="L398" s="8">
        <v>0</v>
      </c>
      <c r="M398" s="24">
        <f t="shared" si="55"/>
        <v>0</v>
      </c>
      <c r="N398" s="24">
        <v>0</v>
      </c>
      <c r="O398" s="240">
        <f t="shared" si="53"/>
        <v>0</v>
      </c>
      <c r="P398" s="301"/>
      <c r="Q398" s="301"/>
      <c r="R398" s="301"/>
      <c r="S398" s="301"/>
      <c r="T398" s="301"/>
      <c r="U398" s="301"/>
      <c r="V398" s="301"/>
      <c r="W398" s="301"/>
      <c r="X398" s="301"/>
      <c r="Y398" s="301"/>
      <c r="Z398" s="301"/>
      <c r="AA398" s="301"/>
      <c r="AB398" s="301"/>
      <c r="AC398" s="301"/>
      <c r="AD398" s="301"/>
      <c r="AE398" s="301"/>
      <c r="AF398" s="301"/>
      <c r="AG398" s="301"/>
      <c r="AH398" s="301"/>
      <c r="AI398" s="301"/>
      <c r="AJ398" s="301"/>
      <c r="AK398" s="301"/>
      <c r="AL398" s="301"/>
      <c r="AM398" s="301"/>
      <c r="AN398" s="301"/>
      <c r="AO398" s="301"/>
      <c r="AP398" s="301"/>
      <c r="AQ398" s="301"/>
      <c r="AR398" s="301"/>
      <c r="AS398" s="301"/>
      <c r="AT398" s="301"/>
      <c r="AU398" s="301"/>
      <c r="AV398" s="301"/>
      <c r="AW398" s="301"/>
      <c r="AX398" s="301"/>
      <c r="AY398" s="301"/>
      <c r="AZ398" s="301"/>
      <c r="BA398" s="301"/>
      <c r="BB398" s="301"/>
      <c r="BC398" s="301"/>
      <c r="BD398" s="301"/>
      <c r="BE398" s="301"/>
      <c r="BF398" s="301"/>
      <c r="BG398" s="301"/>
      <c r="BH398" s="301"/>
      <c r="BI398" s="301"/>
      <c r="BJ398" s="301"/>
      <c r="BK398" s="301"/>
      <c r="BL398" s="301"/>
      <c r="BM398" s="301"/>
      <c r="BN398" s="301"/>
      <c r="BO398" s="301"/>
      <c r="BP398" s="301"/>
      <c r="BQ398" s="301"/>
      <c r="BR398" s="301"/>
      <c r="BS398" s="301"/>
      <c r="BT398" s="301"/>
      <c r="BU398" s="301"/>
      <c r="BV398" s="301"/>
      <c r="BW398" s="301"/>
      <c r="BX398" s="301"/>
      <c r="BY398" s="301"/>
      <c r="BZ398" s="301"/>
      <c r="CA398" s="301"/>
      <c r="CB398" s="301"/>
      <c r="CC398" s="301"/>
      <c r="CD398" s="301"/>
      <c r="CE398" s="301"/>
      <c r="CF398" s="301"/>
      <c r="CG398" s="301"/>
      <c r="CH398" s="301"/>
      <c r="CI398" s="301"/>
      <c r="CJ398" s="301"/>
      <c r="CK398" s="301"/>
      <c r="CL398" s="301"/>
      <c r="CM398" s="301"/>
      <c r="CN398" s="301"/>
      <c r="CO398" s="301"/>
      <c r="CP398" s="301"/>
      <c r="CQ398" s="301"/>
      <c r="CR398" s="301"/>
      <c r="CS398" s="301"/>
      <c r="CT398" s="301"/>
      <c r="CU398" s="301"/>
      <c r="CV398" s="301"/>
      <c r="CW398" s="301"/>
      <c r="CX398" s="301"/>
      <c r="CY398" s="301"/>
      <c r="CZ398" s="301"/>
      <c r="DA398" s="301"/>
      <c r="DB398" s="301"/>
      <c r="DC398" s="301"/>
      <c r="DD398" s="301"/>
      <c r="DE398" s="301"/>
      <c r="DF398" s="301"/>
      <c r="DG398" s="301"/>
      <c r="DH398" s="301"/>
      <c r="DI398" s="301"/>
      <c r="DJ398" s="301"/>
      <c r="DK398" s="301"/>
    </row>
    <row r="399" spans="1:115" s="286" customFormat="1" ht="16.5" customHeight="1">
      <c r="A399" s="287" t="s">
        <v>472</v>
      </c>
      <c r="B399" s="291"/>
      <c r="C399" s="288" t="s">
        <v>473</v>
      </c>
      <c r="D399" s="288" t="e">
        <f>D400+#REF!+D411+D413+D423+D425</f>
        <v>#REF!</v>
      </c>
      <c r="E399" s="288" t="e">
        <f>E400+#REF!+E411+E413+E423+E425</f>
        <v>#REF!</v>
      </c>
      <c r="F399" s="288" t="e">
        <f>F400+#REF!+F413+F425</f>
        <v>#REF!</v>
      </c>
      <c r="G399" s="288" t="e">
        <f>G400+#REF!+G413+G425</f>
        <v>#REF!</v>
      </c>
      <c r="H399" s="288" t="e">
        <f>H400+#REF!+H425</f>
        <v>#REF!</v>
      </c>
      <c r="I399" s="288" t="e">
        <f>I400+#REF!+I425</f>
        <v>#REF!</v>
      </c>
      <c r="J399" s="288" t="e">
        <f>J400+#REF!+J425</f>
        <v>#REF!</v>
      </c>
      <c r="K399" s="288">
        <f>K400+K405+K425</f>
        <v>3527690</v>
      </c>
      <c r="L399" s="288">
        <f>L400+L405+L425</f>
        <v>545000</v>
      </c>
      <c r="M399" s="288">
        <f>M400+M405+M425</f>
        <v>2982690</v>
      </c>
      <c r="N399" s="288">
        <f>N400+N405+N425</f>
        <v>0</v>
      </c>
      <c r="O399" s="285">
        <f t="shared" si="53"/>
        <v>0.1097780030236415</v>
      </c>
      <c r="P399" s="301"/>
      <c r="Q399" s="301"/>
      <c r="R399" s="301"/>
      <c r="S399" s="301"/>
      <c r="T399" s="301"/>
      <c r="U399" s="301"/>
      <c r="V399" s="301"/>
      <c r="W399" s="301"/>
      <c r="X399" s="301"/>
      <c r="Y399" s="301"/>
      <c r="Z399" s="301"/>
      <c r="AA399" s="301"/>
      <c r="AB399" s="301"/>
      <c r="AC399" s="301"/>
      <c r="AD399" s="301"/>
      <c r="AE399" s="301"/>
      <c r="AF399" s="301"/>
      <c r="AG399" s="301"/>
      <c r="AH399" s="301"/>
      <c r="AI399" s="301"/>
      <c r="AJ399" s="301"/>
      <c r="AK399" s="301"/>
      <c r="AL399" s="301"/>
      <c r="AM399" s="301"/>
      <c r="AN399" s="301"/>
      <c r="AO399" s="301"/>
      <c r="AP399" s="301"/>
      <c r="AQ399" s="301"/>
      <c r="AR399" s="301"/>
      <c r="AS399" s="301"/>
      <c r="AT399" s="301"/>
      <c r="AU399" s="301"/>
      <c r="AV399" s="301"/>
      <c r="AW399" s="301"/>
      <c r="AX399" s="301"/>
      <c r="AY399" s="301"/>
      <c r="AZ399" s="301"/>
      <c r="BA399" s="301"/>
      <c r="BB399" s="301"/>
      <c r="BC399" s="301"/>
      <c r="BD399" s="301"/>
      <c r="BE399" s="301"/>
      <c r="BF399" s="301"/>
      <c r="BG399" s="301"/>
      <c r="BH399" s="301"/>
      <c r="BI399" s="301"/>
      <c r="BJ399" s="301"/>
      <c r="BK399" s="301"/>
      <c r="BL399" s="301"/>
      <c r="BM399" s="301"/>
      <c r="BN399" s="301"/>
      <c r="BO399" s="301"/>
      <c r="BP399" s="301"/>
      <c r="BQ399" s="301"/>
      <c r="BR399" s="301"/>
      <c r="BS399" s="301"/>
      <c r="BT399" s="301"/>
      <c r="BU399" s="301"/>
      <c r="BV399" s="301"/>
      <c r="BW399" s="301"/>
      <c r="BX399" s="301"/>
      <c r="BY399" s="301"/>
      <c r="BZ399" s="301"/>
      <c r="CA399" s="301"/>
      <c r="CB399" s="301"/>
      <c r="CC399" s="301"/>
      <c r="CD399" s="301"/>
      <c r="CE399" s="301"/>
      <c r="CF399" s="301"/>
      <c r="CG399" s="301"/>
      <c r="CH399" s="301"/>
      <c r="CI399" s="301"/>
      <c r="CJ399" s="301"/>
      <c r="CK399" s="301"/>
      <c r="CL399" s="301"/>
      <c r="CM399" s="301"/>
      <c r="CN399" s="301"/>
      <c r="CO399" s="301"/>
      <c r="CP399" s="301"/>
      <c r="CQ399" s="301"/>
      <c r="CR399" s="301"/>
      <c r="CS399" s="301"/>
      <c r="CT399" s="301"/>
      <c r="CU399" s="301"/>
      <c r="CV399" s="301"/>
      <c r="CW399" s="301"/>
      <c r="CX399" s="301"/>
      <c r="CY399" s="301"/>
      <c r="CZ399" s="301"/>
      <c r="DA399" s="301"/>
      <c r="DB399" s="301"/>
      <c r="DC399" s="301"/>
      <c r="DD399" s="301"/>
      <c r="DE399" s="301"/>
      <c r="DF399" s="301"/>
      <c r="DG399" s="301"/>
      <c r="DH399" s="301"/>
      <c r="DI399" s="301"/>
      <c r="DJ399" s="301"/>
      <c r="DK399" s="301"/>
    </row>
    <row r="400" spans="1:15" ht="15" customHeight="1">
      <c r="A400" s="17" t="s">
        <v>474</v>
      </c>
      <c r="B400" s="18"/>
      <c r="C400" s="7" t="s">
        <v>475</v>
      </c>
      <c r="D400" s="7" t="e">
        <f>#REF!+#REF!+#REF!</f>
        <v>#REF!</v>
      </c>
      <c r="E400" s="7" t="e">
        <f>#REF!+#REF!+#REF!+E401</f>
        <v>#REF!</v>
      </c>
      <c r="F400" s="7" t="e">
        <f>#REF!+#REF!+#REF!+F401</f>
        <v>#REF!</v>
      </c>
      <c r="G400" s="7" t="e">
        <f>#REF!+#REF!+#REF!</f>
        <v>#REF!</v>
      </c>
      <c r="H400" s="7" t="e">
        <f>#REF!+H401+H404+H402+H403+#REF!</f>
        <v>#REF!</v>
      </c>
      <c r="I400" s="7" t="e">
        <f>#REF!+I401+I404+I402+I403+#REF!</f>
        <v>#REF!</v>
      </c>
      <c r="J400" s="7" t="e">
        <f>#REF!+J401+J404+J402+J403+#REF!</f>
        <v>#REF!</v>
      </c>
      <c r="K400" s="7">
        <f>SUM(K401:K404)</f>
        <v>2973938</v>
      </c>
      <c r="L400" s="7">
        <f>SUM(L401:L404)</f>
        <v>0</v>
      </c>
      <c r="M400" s="7">
        <f>SUM(M401:M404)</f>
        <v>2973938</v>
      </c>
      <c r="N400" s="7">
        <f>SUM(N401:N404)</f>
        <v>0</v>
      </c>
      <c r="O400" s="240">
        <f t="shared" si="53"/>
        <v>0.0925458231182792</v>
      </c>
    </row>
    <row r="401" spans="1:15" ht="12" customHeight="1">
      <c r="A401" s="17"/>
      <c r="B401" s="18" t="s">
        <v>476</v>
      </c>
      <c r="C401" s="29" t="s">
        <v>241</v>
      </c>
      <c r="D401" s="20"/>
      <c r="E401" s="20">
        <v>0</v>
      </c>
      <c r="F401" s="20">
        <v>9135</v>
      </c>
      <c r="G401" s="20">
        <v>0</v>
      </c>
      <c r="H401" s="20">
        <v>100000</v>
      </c>
      <c r="I401" s="20">
        <v>0</v>
      </c>
      <c r="J401" s="20">
        <v>0</v>
      </c>
      <c r="K401" s="20">
        <v>250000</v>
      </c>
      <c r="L401" s="20">
        <v>0</v>
      </c>
      <c r="M401" s="21">
        <f>K401</f>
        <v>250000</v>
      </c>
      <c r="N401" s="19">
        <v>0</v>
      </c>
      <c r="O401" s="240">
        <f t="shared" si="53"/>
        <v>0.007779737095921233</v>
      </c>
    </row>
    <row r="402" spans="1:15" ht="13.5" customHeight="1">
      <c r="A402" s="17"/>
      <c r="B402" s="18" t="s">
        <v>321</v>
      </c>
      <c r="C402" s="208" t="s">
        <v>174</v>
      </c>
      <c r="D402" s="20"/>
      <c r="E402" s="20"/>
      <c r="F402" s="20"/>
      <c r="G402" s="20"/>
      <c r="H402" s="20">
        <v>5011670</v>
      </c>
      <c r="I402" s="20">
        <v>0</v>
      </c>
      <c r="J402" s="20">
        <v>0</v>
      </c>
      <c r="K402" s="20">
        <v>49676</v>
      </c>
      <c r="L402" s="20">
        <v>0</v>
      </c>
      <c r="M402" s="21">
        <f>K402</f>
        <v>49676</v>
      </c>
      <c r="N402" s="19">
        <v>0</v>
      </c>
      <c r="O402" s="240">
        <f t="shared" si="53"/>
        <v>0.0015458648799079326</v>
      </c>
    </row>
    <row r="403" spans="1:15" ht="14.25" customHeight="1">
      <c r="A403" s="17"/>
      <c r="B403" s="18" t="s">
        <v>556</v>
      </c>
      <c r="C403" s="208" t="s">
        <v>174</v>
      </c>
      <c r="D403" s="20"/>
      <c r="E403" s="20"/>
      <c r="F403" s="20"/>
      <c r="G403" s="20"/>
      <c r="H403" s="20">
        <v>8600</v>
      </c>
      <c r="I403" s="20">
        <v>0</v>
      </c>
      <c r="J403" s="20">
        <v>0</v>
      </c>
      <c r="K403" s="20">
        <v>1801762</v>
      </c>
      <c r="L403" s="20">
        <v>0</v>
      </c>
      <c r="M403" s="21">
        <f>K403</f>
        <v>1801762</v>
      </c>
      <c r="N403" s="19">
        <v>0</v>
      </c>
      <c r="O403" s="240">
        <f t="shared" si="53"/>
        <v>0.056068938677684935</v>
      </c>
    </row>
    <row r="404" spans="1:15" ht="12.75" customHeight="1">
      <c r="A404" s="17"/>
      <c r="B404" s="18" t="s">
        <v>746</v>
      </c>
      <c r="C404" s="208" t="s">
        <v>174</v>
      </c>
      <c r="D404" s="20"/>
      <c r="E404" s="20"/>
      <c r="F404" s="20"/>
      <c r="G404" s="20"/>
      <c r="H404" s="20">
        <v>74000</v>
      </c>
      <c r="I404" s="20">
        <v>0</v>
      </c>
      <c r="J404" s="20">
        <v>0</v>
      </c>
      <c r="K404" s="20">
        <v>872500</v>
      </c>
      <c r="L404" s="20">
        <v>0</v>
      </c>
      <c r="M404" s="21">
        <f>K404</f>
        <v>872500</v>
      </c>
      <c r="N404" s="19">
        <v>0</v>
      </c>
      <c r="O404" s="240">
        <f t="shared" si="53"/>
        <v>0.027151282464765104</v>
      </c>
    </row>
    <row r="405" spans="1:15" s="37" customFormat="1" ht="16.5" customHeight="1">
      <c r="A405" s="17" t="s">
        <v>573</v>
      </c>
      <c r="B405" s="17"/>
      <c r="C405" s="4" t="s">
        <v>574</v>
      </c>
      <c r="D405" s="7"/>
      <c r="E405" s="7"/>
      <c r="F405" s="7"/>
      <c r="G405" s="7"/>
      <c r="H405" s="7"/>
      <c r="I405" s="7"/>
      <c r="J405" s="7"/>
      <c r="K405" s="7">
        <f>SUM(K406:K410)</f>
        <v>8752</v>
      </c>
      <c r="L405" s="7">
        <f>SUM(L409:L410)</f>
        <v>0</v>
      </c>
      <c r="M405" s="7">
        <f>SUM(M406:M410)</f>
        <v>8752</v>
      </c>
      <c r="N405" s="7">
        <f>SUM(N409:N410)</f>
        <v>0</v>
      </c>
      <c r="O405" s="240">
        <f t="shared" si="53"/>
        <v>0.0002723530362540105</v>
      </c>
    </row>
    <row r="406" spans="1:15" s="37" customFormat="1" ht="14.25" customHeight="1">
      <c r="A406" s="17"/>
      <c r="B406" s="30" t="s">
        <v>281</v>
      </c>
      <c r="C406" s="11" t="s">
        <v>282</v>
      </c>
      <c r="D406" s="7"/>
      <c r="E406" s="7"/>
      <c r="F406" s="7"/>
      <c r="G406" s="7"/>
      <c r="H406" s="7"/>
      <c r="I406" s="7"/>
      <c r="J406" s="7"/>
      <c r="K406" s="20">
        <v>4156</v>
      </c>
      <c r="L406" s="20">
        <v>0</v>
      </c>
      <c r="M406" s="20">
        <f>K406</f>
        <v>4156</v>
      </c>
      <c r="N406" s="20"/>
      <c r="O406" s="240">
        <f aca="true" t="shared" si="56" ref="O406:O428">K406/$K$616</f>
        <v>0.0001293303494825946</v>
      </c>
    </row>
    <row r="407" spans="1:15" s="37" customFormat="1" ht="15.75" customHeight="1">
      <c r="A407" s="17"/>
      <c r="B407" s="30" t="s">
        <v>314</v>
      </c>
      <c r="C407" s="11" t="s">
        <v>355</v>
      </c>
      <c r="D407" s="7"/>
      <c r="E407" s="7"/>
      <c r="F407" s="7"/>
      <c r="G407" s="7"/>
      <c r="H407" s="7"/>
      <c r="I407" s="7"/>
      <c r="J407" s="7"/>
      <c r="K407" s="20">
        <v>756</v>
      </c>
      <c r="L407" s="20">
        <v>0</v>
      </c>
      <c r="M407" s="20">
        <f>K407</f>
        <v>756</v>
      </c>
      <c r="N407" s="20"/>
      <c r="O407" s="240">
        <f t="shared" si="56"/>
        <v>2.352592497806581E-05</v>
      </c>
    </row>
    <row r="408" spans="1:15" s="37" customFormat="1" ht="12.75" customHeight="1">
      <c r="A408" s="17"/>
      <c r="B408" s="30" t="s">
        <v>289</v>
      </c>
      <c r="C408" s="11" t="s">
        <v>290</v>
      </c>
      <c r="D408" s="7"/>
      <c r="E408" s="7"/>
      <c r="F408" s="7"/>
      <c r="G408" s="7"/>
      <c r="H408" s="7"/>
      <c r="I408" s="7"/>
      <c r="J408" s="7"/>
      <c r="K408" s="20">
        <v>102</v>
      </c>
      <c r="L408" s="20">
        <v>0</v>
      </c>
      <c r="M408" s="20">
        <f>K408</f>
        <v>102</v>
      </c>
      <c r="N408" s="20"/>
      <c r="O408" s="240">
        <f t="shared" si="56"/>
        <v>3.1741327351358633E-06</v>
      </c>
    </row>
    <row r="409" spans="1:15" ht="12.75" customHeight="1">
      <c r="A409" s="28"/>
      <c r="B409" s="28" t="s">
        <v>291</v>
      </c>
      <c r="C409" s="29" t="s">
        <v>292</v>
      </c>
      <c r="D409" s="20"/>
      <c r="E409" s="20"/>
      <c r="F409" s="20"/>
      <c r="G409" s="20"/>
      <c r="H409" s="8"/>
      <c r="I409" s="8"/>
      <c r="J409" s="8"/>
      <c r="K409" s="8">
        <v>3550</v>
      </c>
      <c r="L409" s="20">
        <v>0</v>
      </c>
      <c r="M409" s="20">
        <f>K409</f>
        <v>3550</v>
      </c>
      <c r="N409" s="21">
        <v>0</v>
      </c>
      <c r="O409" s="240">
        <f t="shared" si="56"/>
        <v>0.00011047226676208151</v>
      </c>
    </row>
    <row r="410" spans="1:15" ht="13.5" customHeight="1">
      <c r="A410" s="17"/>
      <c r="B410" s="28" t="s">
        <v>303</v>
      </c>
      <c r="C410" s="8" t="s">
        <v>304</v>
      </c>
      <c r="D410" s="20"/>
      <c r="E410" s="20"/>
      <c r="F410" s="20"/>
      <c r="G410" s="20"/>
      <c r="H410" s="8"/>
      <c r="I410" s="8"/>
      <c r="J410" s="8"/>
      <c r="K410" s="8">
        <v>188</v>
      </c>
      <c r="L410" s="20">
        <v>0</v>
      </c>
      <c r="M410" s="20">
        <f>K410</f>
        <v>188</v>
      </c>
      <c r="N410" s="21"/>
      <c r="O410" s="240">
        <f t="shared" si="56"/>
        <v>5.850362296132768E-06</v>
      </c>
    </row>
    <row r="411" spans="1:15" ht="18.75" customHeight="1" hidden="1">
      <c r="A411" s="17" t="s">
        <v>478</v>
      </c>
      <c r="B411" s="28"/>
      <c r="C411" s="4" t="s">
        <v>479</v>
      </c>
      <c r="D411" s="7">
        <f>D412</f>
        <v>29325</v>
      </c>
      <c r="E411" s="7">
        <f>E412</f>
        <v>0</v>
      </c>
      <c r="F411" s="7"/>
      <c r="G411" s="7"/>
      <c r="H411" s="8"/>
      <c r="I411" s="8"/>
      <c r="J411" s="8"/>
      <c r="K411" s="8"/>
      <c r="L411" s="7"/>
      <c r="M411" s="21">
        <f aca="true" t="shared" si="57" ref="M411:M424">K411</f>
        <v>0</v>
      </c>
      <c r="N411" s="19"/>
      <c r="O411" s="240">
        <f t="shared" si="56"/>
        <v>0</v>
      </c>
    </row>
    <row r="412" spans="1:15" ht="18" customHeight="1" hidden="1">
      <c r="A412" s="28"/>
      <c r="B412" s="28" t="s">
        <v>476</v>
      </c>
      <c r="C412" s="29" t="s">
        <v>477</v>
      </c>
      <c r="D412" s="20">
        <v>29325</v>
      </c>
      <c r="E412" s="20">
        <v>0</v>
      </c>
      <c r="F412" s="20"/>
      <c r="G412" s="20"/>
      <c r="H412" s="8"/>
      <c r="I412" s="8"/>
      <c r="J412" s="8"/>
      <c r="K412" s="8"/>
      <c r="L412" s="20"/>
      <c r="M412" s="21">
        <f t="shared" si="57"/>
        <v>0</v>
      </c>
      <c r="N412" s="21">
        <v>0</v>
      </c>
      <c r="O412" s="240">
        <f t="shared" si="56"/>
        <v>0</v>
      </c>
    </row>
    <row r="413" spans="1:15" ht="15.75" customHeight="1" hidden="1">
      <c r="A413" s="17" t="s">
        <v>480</v>
      </c>
      <c r="B413" s="17"/>
      <c r="C413" s="7" t="s">
        <v>481</v>
      </c>
      <c r="D413" s="7">
        <f>D416+D417+D418+D420</f>
        <v>1222573</v>
      </c>
      <c r="E413" s="7">
        <f aca="true" t="shared" si="58" ref="E413:L413">E416+E417+E418+E419+E420+E421+E422</f>
        <v>1330000</v>
      </c>
      <c r="F413" s="7">
        <f t="shared" si="58"/>
        <v>0</v>
      </c>
      <c r="G413" s="7">
        <f t="shared" si="58"/>
        <v>0</v>
      </c>
      <c r="H413" s="8"/>
      <c r="I413" s="8"/>
      <c r="J413" s="8"/>
      <c r="K413" s="8"/>
      <c r="L413" s="7">
        <f t="shared" si="58"/>
        <v>0</v>
      </c>
      <c r="M413" s="21">
        <f t="shared" si="57"/>
        <v>0</v>
      </c>
      <c r="N413" s="19">
        <f>N416+N417+N418+N419+N420</f>
        <v>0</v>
      </c>
      <c r="O413" s="240">
        <f t="shared" si="56"/>
        <v>0</v>
      </c>
    </row>
    <row r="414" spans="1:15" ht="13.5" customHeight="1" hidden="1">
      <c r="A414" s="17"/>
      <c r="B414" s="30" t="s">
        <v>269</v>
      </c>
      <c r="C414" s="20" t="s">
        <v>482</v>
      </c>
      <c r="D414" s="20"/>
      <c r="E414" s="20"/>
      <c r="F414" s="20"/>
      <c r="G414" s="20"/>
      <c r="H414" s="7"/>
      <c r="I414" s="7"/>
      <c r="J414" s="7"/>
      <c r="K414" s="7"/>
      <c r="L414" s="20"/>
      <c r="M414" s="21">
        <f t="shared" si="57"/>
        <v>0</v>
      </c>
      <c r="N414" s="21"/>
      <c r="O414" s="240">
        <f t="shared" si="56"/>
        <v>0</v>
      </c>
    </row>
    <row r="415" spans="1:15" ht="16.5" customHeight="1" hidden="1">
      <c r="A415" s="17"/>
      <c r="B415" s="30" t="s">
        <v>279</v>
      </c>
      <c r="C415" s="20" t="s">
        <v>483</v>
      </c>
      <c r="D415" s="20"/>
      <c r="E415" s="20"/>
      <c r="F415" s="20"/>
      <c r="G415" s="20"/>
      <c r="H415" s="8"/>
      <c r="I415" s="8"/>
      <c r="J415" s="8"/>
      <c r="K415" s="8"/>
      <c r="L415" s="20"/>
      <c r="M415" s="21">
        <f t="shared" si="57"/>
        <v>0</v>
      </c>
      <c r="N415" s="21"/>
      <c r="O415" s="240">
        <f t="shared" si="56"/>
        <v>0</v>
      </c>
    </row>
    <row r="416" spans="1:15" ht="17.25" customHeight="1" hidden="1">
      <c r="A416" s="519"/>
      <c r="B416" s="28" t="s">
        <v>281</v>
      </c>
      <c r="C416" s="11" t="s">
        <v>282</v>
      </c>
      <c r="D416" s="8">
        <v>921763</v>
      </c>
      <c r="E416" s="8">
        <v>981678</v>
      </c>
      <c r="F416" s="8">
        <v>0</v>
      </c>
      <c r="G416" s="8">
        <v>0</v>
      </c>
      <c r="H416" s="7"/>
      <c r="I416" s="7"/>
      <c r="J416" s="7"/>
      <c r="K416" s="7"/>
      <c r="L416" s="8">
        <f>H416</f>
        <v>0</v>
      </c>
      <c r="M416" s="21">
        <f t="shared" si="57"/>
        <v>0</v>
      </c>
      <c r="N416" s="24">
        <v>0</v>
      </c>
      <c r="O416" s="240">
        <f t="shared" si="56"/>
        <v>0</v>
      </c>
    </row>
    <row r="417" spans="1:15" ht="16.5" customHeight="1" hidden="1">
      <c r="A417" s="519"/>
      <c r="B417" s="28" t="s">
        <v>285</v>
      </c>
      <c r="C417" s="11" t="s">
        <v>286</v>
      </c>
      <c r="D417" s="8">
        <v>73529</v>
      </c>
      <c r="E417" s="8">
        <v>75873</v>
      </c>
      <c r="F417" s="8">
        <v>0</v>
      </c>
      <c r="G417" s="8">
        <v>0</v>
      </c>
      <c r="H417" s="8"/>
      <c r="I417" s="8"/>
      <c r="J417" s="8"/>
      <c r="K417" s="8"/>
      <c r="L417" s="8">
        <f>H417</f>
        <v>0</v>
      </c>
      <c r="M417" s="21">
        <f t="shared" si="57"/>
        <v>0</v>
      </c>
      <c r="N417" s="24">
        <v>0</v>
      </c>
      <c r="O417" s="240">
        <f t="shared" si="56"/>
        <v>0</v>
      </c>
    </row>
    <row r="418" spans="1:15" ht="17.25" customHeight="1" hidden="1">
      <c r="A418" s="519"/>
      <c r="B418" s="25" t="s">
        <v>338</v>
      </c>
      <c r="C418" s="11" t="s">
        <v>355</v>
      </c>
      <c r="D418" s="8">
        <v>188123</v>
      </c>
      <c r="E418" s="8">
        <v>179484</v>
      </c>
      <c r="F418" s="8">
        <v>0</v>
      </c>
      <c r="G418" s="8">
        <v>0</v>
      </c>
      <c r="H418" s="8"/>
      <c r="I418" s="8"/>
      <c r="J418" s="8"/>
      <c r="K418" s="8"/>
      <c r="L418" s="8">
        <f>H418</f>
        <v>0</v>
      </c>
      <c r="M418" s="21">
        <f t="shared" si="57"/>
        <v>0</v>
      </c>
      <c r="N418" s="24">
        <v>0</v>
      </c>
      <c r="O418" s="240">
        <f t="shared" si="56"/>
        <v>0</v>
      </c>
    </row>
    <row r="419" spans="1:15" ht="17.25" customHeight="1" hidden="1">
      <c r="A419" s="519"/>
      <c r="B419" s="25" t="s">
        <v>289</v>
      </c>
      <c r="C419" s="11" t="s">
        <v>290</v>
      </c>
      <c r="D419" s="8"/>
      <c r="E419" s="8">
        <v>25000</v>
      </c>
      <c r="F419" s="8">
        <v>0</v>
      </c>
      <c r="G419" s="8">
        <v>0</v>
      </c>
      <c r="H419" s="8"/>
      <c r="I419" s="8"/>
      <c r="J419" s="8"/>
      <c r="K419" s="8"/>
      <c r="L419" s="8">
        <f>H419</f>
        <v>0</v>
      </c>
      <c r="M419" s="21">
        <f t="shared" si="57"/>
        <v>0</v>
      </c>
      <c r="N419" s="24">
        <v>0</v>
      </c>
      <c r="O419" s="240">
        <f t="shared" si="56"/>
        <v>0</v>
      </c>
    </row>
    <row r="420" spans="1:15" ht="18" customHeight="1" hidden="1">
      <c r="A420" s="519"/>
      <c r="B420" s="28"/>
      <c r="C420" s="8" t="s">
        <v>329</v>
      </c>
      <c r="D420" s="8">
        <v>39158</v>
      </c>
      <c r="E420" s="8">
        <v>21000</v>
      </c>
      <c r="F420" s="8">
        <v>0</v>
      </c>
      <c r="G420" s="8">
        <v>0</v>
      </c>
      <c r="H420" s="7"/>
      <c r="I420" s="7"/>
      <c r="J420" s="7"/>
      <c r="K420" s="7"/>
      <c r="L420" s="8">
        <f>H420</f>
        <v>0</v>
      </c>
      <c r="M420" s="21">
        <f t="shared" si="57"/>
        <v>0</v>
      </c>
      <c r="N420" s="24">
        <v>0</v>
      </c>
      <c r="O420" s="240">
        <f t="shared" si="56"/>
        <v>0</v>
      </c>
    </row>
    <row r="421" spans="1:15" ht="15.75" customHeight="1" hidden="1">
      <c r="A421" s="23"/>
      <c r="B421" s="28" t="s">
        <v>293</v>
      </c>
      <c r="C421" s="8" t="s">
        <v>383</v>
      </c>
      <c r="D421" s="8"/>
      <c r="E421" s="8">
        <v>17179</v>
      </c>
      <c r="F421" s="8">
        <v>0</v>
      </c>
      <c r="G421" s="8">
        <v>0</v>
      </c>
      <c r="H421" s="7"/>
      <c r="I421" s="7"/>
      <c r="J421" s="7"/>
      <c r="K421" s="7"/>
      <c r="L421" s="8"/>
      <c r="M421" s="21">
        <f t="shared" si="57"/>
        <v>0</v>
      </c>
      <c r="N421" s="24"/>
      <c r="O421" s="240">
        <f t="shared" si="56"/>
        <v>0</v>
      </c>
    </row>
    <row r="422" spans="1:15" ht="15.75" customHeight="1" hidden="1">
      <c r="A422" s="23"/>
      <c r="B422" s="28" t="s">
        <v>303</v>
      </c>
      <c r="C422" s="8" t="s">
        <v>304</v>
      </c>
      <c r="D422" s="8"/>
      <c r="E422" s="8">
        <v>29786</v>
      </c>
      <c r="F422" s="8">
        <v>0</v>
      </c>
      <c r="G422" s="8">
        <v>0</v>
      </c>
      <c r="H422" s="8"/>
      <c r="I422" s="8"/>
      <c r="J422" s="8"/>
      <c r="K422" s="8"/>
      <c r="L422" s="8"/>
      <c r="M422" s="21">
        <f t="shared" si="57"/>
        <v>0</v>
      </c>
      <c r="N422" s="24"/>
      <c r="O422" s="240">
        <f t="shared" si="56"/>
        <v>0</v>
      </c>
    </row>
    <row r="423" spans="1:15" ht="15.75" customHeight="1" hidden="1">
      <c r="A423" s="26" t="s">
        <v>484</v>
      </c>
      <c r="B423" s="17"/>
      <c r="C423" s="7" t="s">
        <v>485</v>
      </c>
      <c r="D423" s="7">
        <f>D424</f>
        <v>4495</v>
      </c>
      <c r="E423" s="7">
        <f>E424</f>
        <v>0</v>
      </c>
      <c r="F423" s="7"/>
      <c r="G423" s="7"/>
      <c r="H423" s="8"/>
      <c r="I423" s="8"/>
      <c r="J423" s="8"/>
      <c r="K423" s="8"/>
      <c r="L423" s="7"/>
      <c r="M423" s="21">
        <f t="shared" si="57"/>
        <v>0</v>
      </c>
      <c r="N423" s="19"/>
      <c r="O423" s="240">
        <f t="shared" si="56"/>
        <v>0</v>
      </c>
    </row>
    <row r="424" spans="1:15" ht="17.25" customHeight="1" hidden="1">
      <c r="A424" s="23"/>
      <c r="B424" s="28" t="s">
        <v>476</v>
      </c>
      <c r="C424" s="29" t="s">
        <v>477</v>
      </c>
      <c r="D424" s="8">
        <v>4495</v>
      </c>
      <c r="E424" s="8">
        <v>0</v>
      </c>
      <c r="F424" s="8"/>
      <c r="G424" s="8"/>
      <c r="H424" s="8"/>
      <c r="I424" s="8"/>
      <c r="J424" s="8"/>
      <c r="K424" s="8"/>
      <c r="L424" s="8"/>
      <c r="M424" s="21">
        <f t="shared" si="57"/>
        <v>0</v>
      </c>
      <c r="N424" s="24">
        <v>0</v>
      </c>
      <c r="O424" s="240">
        <f t="shared" si="56"/>
        <v>0</v>
      </c>
    </row>
    <row r="425" spans="1:15" ht="24.75" customHeight="1">
      <c r="A425" s="26" t="s">
        <v>486</v>
      </c>
      <c r="B425" s="28"/>
      <c r="C425" s="4" t="s">
        <v>966</v>
      </c>
      <c r="D425" s="7" t="e">
        <f>#REF!</f>
        <v>#REF!</v>
      </c>
      <c r="E425" s="7" t="e">
        <f>#REF!+E426+E427</f>
        <v>#REF!</v>
      </c>
      <c r="F425" s="7" t="e">
        <f>#REF!+F426+F427</f>
        <v>#REF!</v>
      </c>
      <c r="G425" s="7" t="e">
        <f>#REF!+G426+G427</f>
        <v>#REF!</v>
      </c>
      <c r="H425" s="7">
        <f aca="true" t="shared" si="59" ref="H425:N425">H426</f>
        <v>363000</v>
      </c>
      <c r="I425" s="7">
        <f t="shared" si="59"/>
        <v>0</v>
      </c>
      <c r="J425" s="7">
        <f t="shared" si="59"/>
        <v>0</v>
      </c>
      <c r="K425" s="7">
        <f t="shared" si="59"/>
        <v>545000</v>
      </c>
      <c r="L425" s="7">
        <f t="shared" si="59"/>
        <v>545000</v>
      </c>
      <c r="M425" s="7">
        <f t="shared" si="59"/>
        <v>0</v>
      </c>
      <c r="N425" s="7">
        <f t="shared" si="59"/>
        <v>0</v>
      </c>
      <c r="O425" s="240">
        <f t="shared" si="56"/>
        <v>0.01695982686910829</v>
      </c>
    </row>
    <row r="426" spans="1:27" ht="13.5" customHeight="1">
      <c r="A426" s="23"/>
      <c r="B426" s="28" t="s">
        <v>487</v>
      </c>
      <c r="C426" s="11" t="s">
        <v>488</v>
      </c>
      <c r="D426" s="8"/>
      <c r="E426" s="8">
        <v>47223</v>
      </c>
      <c r="F426" s="8">
        <v>0</v>
      </c>
      <c r="G426" s="8">
        <v>0</v>
      </c>
      <c r="H426" s="8">
        <v>363000</v>
      </c>
      <c r="I426" s="8">
        <v>0</v>
      </c>
      <c r="J426" s="8">
        <v>0</v>
      </c>
      <c r="K426" s="8">
        <v>545000</v>
      </c>
      <c r="L426" s="8">
        <f>K426</f>
        <v>545000</v>
      </c>
      <c r="M426" s="24">
        <v>0</v>
      </c>
      <c r="N426" s="24">
        <v>0</v>
      </c>
      <c r="O426" s="240">
        <f t="shared" si="56"/>
        <v>0.01695982686910829</v>
      </c>
      <c r="P426" s="301"/>
      <c r="Q426" s="301"/>
      <c r="R426" s="301"/>
      <c r="S426" s="301"/>
      <c r="T426" s="301"/>
      <c r="U426" s="301"/>
      <c r="V426" s="301"/>
      <c r="W426" s="301"/>
      <c r="X426" s="301"/>
      <c r="Y426" s="301"/>
      <c r="Z426" s="301"/>
      <c r="AA426" s="301"/>
    </row>
    <row r="427" spans="1:27" ht="24.75" customHeight="1" hidden="1">
      <c r="A427" s="23"/>
      <c r="B427" s="28" t="s">
        <v>489</v>
      </c>
      <c r="C427" s="11" t="s">
        <v>490</v>
      </c>
      <c r="D427" s="8"/>
      <c r="E427" s="8">
        <v>35693</v>
      </c>
      <c r="F427" s="8">
        <v>0</v>
      </c>
      <c r="G427" s="8">
        <v>0</v>
      </c>
      <c r="H427" s="8"/>
      <c r="I427" s="8"/>
      <c r="J427" s="8"/>
      <c r="K427" s="8"/>
      <c r="L427" s="8"/>
      <c r="M427" s="24"/>
      <c r="N427" s="24">
        <v>0</v>
      </c>
      <c r="O427" s="240">
        <f t="shared" si="56"/>
        <v>0</v>
      </c>
      <c r="P427" s="301"/>
      <c r="Q427" s="301"/>
      <c r="R427" s="301"/>
      <c r="S427" s="301"/>
      <c r="T427" s="301"/>
      <c r="U427" s="301"/>
      <c r="V427" s="301"/>
      <c r="W427" s="301"/>
      <c r="X427" s="301"/>
      <c r="Y427" s="301"/>
      <c r="Z427" s="301"/>
      <c r="AA427" s="301"/>
    </row>
    <row r="428" spans="1:27" s="286" customFormat="1" ht="17.25" customHeight="1">
      <c r="A428" s="287" t="s">
        <v>391</v>
      </c>
      <c r="B428" s="287"/>
      <c r="C428" s="288" t="s">
        <v>398</v>
      </c>
      <c r="D428" s="288" t="e">
        <f>D429+D446+D464+#REF!+D469+#REF!+#REF!+D510</f>
        <v>#REF!</v>
      </c>
      <c r="E428" s="288" t="e">
        <f>E429+E446+E464+#REF!+E469+#REF!+#REF!+#REF!+E510+#REF!</f>
        <v>#REF!</v>
      </c>
      <c r="F428" s="288" t="e">
        <f>F429+F446+F464+#REF!+F469+#REF!+#REF!+#REF!+F510+#REF!</f>
        <v>#REF!</v>
      </c>
      <c r="G428" s="288" t="e">
        <f>G429+G446+G464+#REF!+G469+#REF!+#REF!+#REF!+G510+#REF!</f>
        <v>#REF!</v>
      </c>
      <c r="H428" s="288" t="e">
        <f>H429+H446+H464+#REF!+H469+#REF!+#REF!+#REF!+H510+#REF!</f>
        <v>#REF!</v>
      </c>
      <c r="I428" s="288" t="e">
        <f>I429+I446+I464+#REF!+I469+#REF!+#REF!+#REF!+I510+#REF!</f>
        <v>#REF!</v>
      </c>
      <c r="J428" s="288" t="e">
        <f>J429+J446+J464+#REF!+J469+#REF!+#REF!+#REF!+J510+#REF!</f>
        <v>#REF!</v>
      </c>
      <c r="K428" s="288">
        <f>K429+K446+K464+K469+K483+K495+K498</f>
        <v>3344782</v>
      </c>
      <c r="L428" s="288">
        <f>L429+L446+L464+L469+L483+L495+L498</f>
        <v>0</v>
      </c>
      <c r="M428" s="288">
        <f>M429+M446+M464+M469+M483+M495+M498</f>
        <v>3012346</v>
      </c>
      <c r="N428" s="288">
        <f>N429+N446+N464+N469+N483+N495+N498</f>
        <v>332436</v>
      </c>
      <c r="O428" s="285">
        <f t="shared" si="56"/>
        <v>0.10408609841267846</v>
      </c>
      <c r="P428" s="301"/>
      <c r="Q428" s="301"/>
      <c r="R428" s="301"/>
      <c r="S428" s="301"/>
      <c r="T428" s="301"/>
      <c r="U428" s="301"/>
      <c r="V428" s="301"/>
      <c r="W428" s="301"/>
      <c r="X428" s="301"/>
      <c r="Y428" s="301"/>
      <c r="Z428" s="301"/>
      <c r="AA428" s="301"/>
    </row>
    <row r="429" spans="1:15" ht="14.25" customHeight="1">
      <c r="A429" s="17" t="s">
        <v>393</v>
      </c>
      <c r="B429" s="17"/>
      <c r="C429" s="4" t="s">
        <v>492</v>
      </c>
      <c r="D429" s="7" t="e">
        <f>D432+D433+D434+#REF!</f>
        <v>#REF!</v>
      </c>
      <c r="E429" s="7" t="e">
        <f>E432+E433+E434+E435+#REF!+E430+#REF!+E431+E436+E437+#REF!+E439+#REF!+E440+E442+E443+E444+#REF!</f>
        <v>#REF!</v>
      </c>
      <c r="F429" s="7" t="e">
        <f>F432+F433+F434+F435+#REF!+F430+#REF!+F431+F436+F437+#REF!+F439+#REF!+F440+F442+F443+F444+#REF!</f>
        <v>#REF!</v>
      </c>
      <c r="G429" s="7" t="e">
        <f>G432+G433+G434+G435+#REF!+G430+#REF!+G431+G436+G437+#REF!+G439+#REF!+G440+G442+G443+G444+#REF!</f>
        <v>#REF!</v>
      </c>
      <c r="H429" s="7" t="e">
        <f>H432+H433+H434+H435+H430+H431+H436+H437+H439+H440+H442+H443+H444+#REF!+H438</f>
        <v>#REF!</v>
      </c>
      <c r="I429" s="7" t="e">
        <f>I432+I433+I434+I435+I430+I431+I436+I437+I439+I440+I442+I443+I444+#REF!+I438</f>
        <v>#REF!</v>
      </c>
      <c r="J429" s="7" t="e">
        <f>J432+J433+J434+J435+J430+J431+J436+J437+J439+J440+J442+J443+J444+#REF!+J438</f>
        <v>#REF!</v>
      </c>
      <c r="K429" s="7">
        <f>SUM(K430:K445)</f>
        <v>1262605</v>
      </c>
      <c r="L429" s="7">
        <f>SUM(L430:L445)</f>
        <v>0</v>
      </c>
      <c r="M429" s="7">
        <f>SUM(M430:M445)</f>
        <v>947375</v>
      </c>
      <c r="N429" s="7">
        <f>SUM(N430:N445)</f>
        <v>315230</v>
      </c>
      <c r="O429" s="240">
        <f aca="true" t="shared" si="60" ref="O429:O437">K429/$K$616</f>
        <v>0.03929093982398252</v>
      </c>
    </row>
    <row r="430" spans="1:15" ht="15.75" customHeight="1">
      <c r="A430" s="17"/>
      <c r="B430" s="28" t="s">
        <v>269</v>
      </c>
      <c r="C430" s="8" t="s">
        <v>482</v>
      </c>
      <c r="D430" s="8"/>
      <c r="E430" s="8">
        <v>10492</v>
      </c>
      <c r="F430" s="8">
        <v>0</v>
      </c>
      <c r="G430" s="8">
        <v>0</v>
      </c>
      <c r="H430" s="8">
        <v>2952</v>
      </c>
      <c r="I430" s="8">
        <v>0</v>
      </c>
      <c r="J430" s="8">
        <v>0</v>
      </c>
      <c r="K430" s="8">
        <v>635</v>
      </c>
      <c r="L430" s="8">
        <v>0</v>
      </c>
      <c r="M430" s="24">
        <f>K430</f>
        <v>635</v>
      </c>
      <c r="N430" s="24">
        <v>0</v>
      </c>
      <c r="O430" s="240">
        <f t="shared" si="60"/>
        <v>1.9760532223639933E-05</v>
      </c>
    </row>
    <row r="431" spans="1:15" ht="15.75" customHeight="1">
      <c r="A431" s="17"/>
      <c r="B431" s="28" t="s">
        <v>493</v>
      </c>
      <c r="C431" s="8" t="s">
        <v>494</v>
      </c>
      <c r="D431" s="8"/>
      <c r="E431" s="8">
        <v>101199</v>
      </c>
      <c r="F431" s="8">
        <v>0</v>
      </c>
      <c r="G431" s="8">
        <v>0</v>
      </c>
      <c r="H431" s="8">
        <v>103850</v>
      </c>
      <c r="I431" s="8">
        <v>0</v>
      </c>
      <c r="J431" s="8">
        <v>0</v>
      </c>
      <c r="K431" s="8">
        <v>93595</v>
      </c>
      <c r="L431" s="8">
        <v>0</v>
      </c>
      <c r="M431" s="24">
        <f>K431</f>
        <v>93595</v>
      </c>
      <c r="N431" s="24">
        <v>0</v>
      </c>
      <c r="O431" s="240">
        <f t="shared" si="60"/>
        <v>0.0029125779739709915</v>
      </c>
    </row>
    <row r="432" spans="1:15" ht="16.5" customHeight="1">
      <c r="A432" s="17"/>
      <c r="B432" s="28" t="s">
        <v>281</v>
      </c>
      <c r="C432" s="11" t="s">
        <v>282</v>
      </c>
      <c r="D432" s="8">
        <v>956632</v>
      </c>
      <c r="E432" s="8">
        <v>1089025</v>
      </c>
      <c r="F432" s="8">
        <v>0</v>
      </c>
      <c r="G432" s="8">
        <v>0</v>
      </c>
      <c r="H432" s="8">
        <v>335820</v>
      </c>
      <c r="I432" s="8">
        <v>0</v>
      </c>
      <c r="J432" s="8">
        <v>0</v>
      </c>
      <c r="K432" s="8">
        <v>472700</v>
      </c>
      <c r="L432" s="8">
        <v>0</v>
      </c>
      <c r="M432" s="24">
        <f>K432</f>
        <v>472700</v>
      </c>
      <c r="N432" s="24">
        <v>0</v>
      </c>
      <c r="O432" s="240">
        <f t="shared" si="60"/>
        <v>0.014709926900967868</v>
      </c>
    </row>
    <row r="433" spans="1:15" ht="15" customHeight="1">
      <c r="A433" s="17"/>
      <c r="B433" s="28" t="s">
        <v>285</v>
      </c>
      <c r="C433" s="11" t="s">
        <v>286</v>
      </c>
      <c r="D433" s="11">
        <v>70520</v>
      </c>
      <c r="E433" s="8">
        <v>77400</v>
      </c>
      <c r="F433" s="8">
        <v>0</v>
      </c>
      <c r="G433" s="8">
        <v>0</v>
      </c>
      <c r="H433" s="8">
        <v>29155</v>
      </c>
      <c r="I433" s="8">
        <v>0</v>
      </c>
      <c r="J433" s="8">
        <v>0</v>
      </c>
      <c r="K433" s="8">
        <v>33736</v>
      </c>
      <c r="L433" s="8">
        <v>0</v>
      </c>
      <c r="M433" s="24">
        <f aca="true" t="shared" si="61" ref="M433:M444">K433</f>
        <v>33736</v>
      </c>
      <c r="N433" s="24">
        <v>0</v>
      </c>
      <c r="O433" s="240">
        <f t="shared" si="60"/>
        <v>0.001049828842671995</v>
      </c>
    </row>
    <row r="434" spans="1:15" ht="15" customHeight="1">
      <c r="A434" s="17"/>
      <c r="B434" s="25" t="s">
        <v>338</v>
      </c>
      <c r="C434" s="11" t="s">
        <v>355</v>
      </c>
      <c r="D434" s="8">
        <v>208573</v>
      </c>
      <c r="E434" s="8">
        <v>207904</v>
      </c>
      <c r="F434" s="8">
        <v>0</v>
      </c>
      <c r="G434" s="8">
        <v>0</v>
      </c>
      <c r="H434" s="8">
        <v>65200</v>
      </c>
      <c r="I434" s="8">
        <v>0</v>
      </c>
      <c r="J434" s="8">
        <v>0</v>
      </c>
      <c r="K434" s="8">
        <v>79627</v>
      </c>
      <c r="L434" s="8">
        <v>0</v>
      </c>
      <c r="M434" s="24">
        <f t="shared" si="61"/>
        <v>79627</v>
      </c>
      <c r="N434" s="24">
        <v>0</v>
      </c>
      <c r="O434" s="240">
        <f t="shared" si="60"/>
        <v>0.00247790850294768</v>
      </c>
    </row>
    <row r="435" spans="1:15" ht="13.5" customHeight="1">
      <c r="A435" s="17"/>
      <c r="B435" s="25" t="s">
        <v>289</v>
      </c>
      <c r="C435" s="11" t="s">
        <v>290</v>
      </c>
      <c r="D435" s="8"/>
      <c r="E435" s="8">
        <v>27489</v>
      </c>
      <c r="F435" s="8">
        <v>0</v>
      </c>
      <c r="G435" s="8">
        <v>0</v>
      </c>
      <c r="H435" s="8">
        <v>8940</v>
      </c>
      <c r="I435" s="8">
        <v>0</v>
      </c>
      <c r="J435" s="8">
        <v>0</v>
      </c>
      <c r="K435" s="8">
        <v>11025</v>
      </c>
      <c r="L435" s="8">
        <v>0</v>
      </c>
      <c r="M435" s="24">
        <f t="shared" si="61"/>
        <v>11025</v>
      </c>
      <c r="N435" s="24">
        <v>0</v>
      </c>
      <c r="O435" s="240">
        <f t="shared" si="60"/>
        <v>0.00034308640593012636</v>
      </c>
    </row>
    <row r="436" spans="1:15" ht="14.25" customHeight="1">
      <c r="A436" s="17"/>
      <c r="B436" s="28" t="s">
        <v>291</v>
      </c>
      <c r="C436" s="8" t="s">
        <v>428</v>
      </c>
      <c r="D436" s="8"/>
      <c r="E436" s="8">
        <v>96956</v>
      </c>
      <c r="F436" s="8">
        <v>0</v>
      </c>
      <c r="G436" s="8">
        <v>0</v>
      </c>
      <c r="H436" s="8">
        <v>36573</v>
      </c>
      <c r="I436" s="8">
        <v>0</v>
      </c>
      <c r="J436" s="8">
        <v>0</v>
      </c>
      <c r="K436" s="8">
        <v>44315</v>
      </c>
      <c r="L436" s="8">
        <v>0</v>
      </c>
      <c r="M436" s="24">
        <f t="shared" si="61"/>
        <v>44315</v>
      </c>
      <c r="N436" s="24">
        <v>0</v>
      </c>
      <c r="O436" s="240">
        <f t="shared" si="60"/>
        <v>0.0013790361976229978</v>
      </c>
    </row>
    <row r="437" spans="1:15" ht="16.5" customHeight="1">
      <c r="A437" s="17"/>
      <c r="B437" s="28" t="s">
        <v>379</v>
      </c>
      <c r="C437" s="8" t="s">
        <v>495</v>
      </c>
      <c r="D437" s="8"/>
      <c r="E437" s="8">
        <v>188099</v>
      </c>
      <c r="F437" s="8">
        <v>0</v>
      </c>
      <c r="G437" s="8">
        <v>0</v>
      </c>
      <c r="H437" s="20">
        <v>50136</v>
      </c>
      <c r="I437" s="8">
        <v>0</v>
      </c>
      <c r="J437" s="8">
        <v>0</v>
      </c>
      <c r="K437" s="8">
        <v>63000</v>
      </c>
      <c r="L437" s="8">
        <v>0</v>
      </c>
      <c r="M437" s="24">
        <f t="shared" si="61"/>
        <v>63000</v>
      </c>
      <c r="N437" s="24">
        <v>0</v>
      </c>
      <c r="O437" s="240">
        <f t="shared" si="60"/>
        <v>0.0019604937481721508</v>
      </c>
    </row>
    <row r="438" spans="1:15" ht="15.75" customHeight="1">
      <c r="A438" s="17"/>
      <c r="B438" s="28" t="s">
        <v>499</v>
      </c>
      <c r="C438" s="8" t="s">
        <v>500</v>
      </c>
      <c r="D438" s="8"/>
      <c r="E438" s="8"/>
      <c r="F438" s="8"/>
      <c r="G438" s="8"/>
      <c r="H438" s="20">
        <v>1500</v>
      </c>
      <c r="I438" s="8">
        <v>0</v>
      </c>
      <c r="J438" s="8">
        <v>0</v>
      </c>
      <c r="K438" s="8">
        <v>2400</v>
      </c>
      <c r="L438" s="8">
        <v>0</v>
      </c>
      <c r="M438" s="24">
        <f t="shared" si="61"/>
        <v>2400</v>
      </c>
      <c r="N438" s="24">
        <v>0</v>
      </c>
      <c r="O438" s="240">
        <f aca="true" t="shared" si="62" ref="O438:O469">K438/$K$616</f>
        <v>7.468547612084384E-05</v>
      </c>
    </row>
    <row r="439" spans="1:15" ht="16.5" customHeight="1">
      <c r="A439" s="17"/>
      <c r="B439" s="28" t="s">
        <v>293</v>
      </c>
      <c r="C439" s="8" t="s">
        <v>383</v>
      </c>
      <c r="D439" s="8"/>
      <c r="E439" s="8">
        <v>82690</v>
      </c>
      <c r="F439" s="8">
        <v>0</v>
      </c>
      <c r="G439" s="8">
        <v>0</v>
      </c>
      <c r="H439" s="8">
        <v>63330</v>
      </c>
      <c r="I439" s="8">
        <v>0</v>
      </c>
      <c r="J439" s="8">
        <v>0</v>
      </c>
      <c r="K439" s="8">
        <v>93865</v>
      </c>
      <c r="L439" s="8">
        <v>0</v>
      </c>
      <c r="M439" s="24">
        <f t="shared" si="61"/>
        <v>93865</v>
      </c>
      <c r="N439" s="24">
        <v>0</v>
      </c>
      <c r="O439" s="240">
        <f t="shared" si="62"/>
        <v>0.0029209800900345862</v>
      </c>
    </row>
    <row r="440" spans="1:15" ht="16.5" customHeight="1">
      <c r="A440" s="17"/>
      <c r="B440" s="28" t="s">
        <v>297</v>
      </c>
      <c r="C440" s="8" t="s">
        <v>385</v>
      </c>
      <c r="D440" s="8"/>
      <c r="E440" s="8">
        <v>39235</v>
      </c>
      <c r="F440" s="8">
        <v>0</v>
      </c>
      <c r="G440" s="8">
        <v>0</v>
      </c>
      <c r="H440" s="8">
        <v>8500</v>
      </c>
      <c r="I440" s="8">
        <v>0</v>
      </c>
      <c r="J440" s="8">
        <v>0</v>
      </c>
      <c r="K440" s="8">
        <v>22260</v>
      </c>
      <c r="L440" s="8">
        <v>0</v>
      </c>
      <c r="M440" s="24">
        <f t="shared" si="61"/>
        <v>22260</v>
      </c>
      <c r="N440" s="24">
        <v>0</v>
      </c>
      <c r="O440" s="240">
        <f t="shared" si="62"/>
        <v>0.0006927077910208266</v>
      </c>
    </row>
    <row r="441" spans="1:15" ht="16.5" customHeight="1">
      <c r="A441" s="17"/>
      <c r="B441" s="28" t="s">
        <v>53</v>
      </c>
      <c r="C441" s="8" t="s">
        <v>575</v>
      </c>
      <c r="D441" s="8"/>
      <c r="E441" s="8"/>
      <c r="F441" s="8"/>
      <c r="G441" s="8"/>
      <c r="H441" s="8"/>
      <c r="I441" s="8"/>
      <c r="J441" s="8"/>
      <c r="K441" s="8">
        <v>1908</v>
      </c>
      <c r="L441" s="8">
        <v>0</v>
      </c>
      <c r="M441" s="24">
        <f t="shared" si="61"/>
        <v>1908</v>
      </c>
      <c r="N441" s="24">
        <v>0</v>
      </c>
      <c r="O441" s="240">
        <f t="shared" si="62"/>
        <v>5.9374953516070854E-05</v>
      </c>
    </row>
    <row r="442" spans="1:15" ht="16.5" customHeight="1">
      <c r="A442" s="17"/>
      <c r="B442" s="28" t="s">
        <v>299</v>
      </c>
      <c r="C442" s="8" t="s">
        <v>300</v>
      </c>
      <c r="D442" s="8"/>
      <c r="E442" s="8">
        <v>2500</v>
      </c>
      <c r="F442" s="8">
        <v>0</v>
      </c>
      <c r="G442" s="8">
        <v>0</v>
      </c>
      <c r="H442" s="8">
        <v>500</v>
      </c>
      <c r="I442" s="8">
        <v>0</v>
      </c>
      <c r="J442" s="8">
        <v>0</v>
      </c>
      <c r="K442" s="8">
        <v>2300</v>
      </c>
      <c r="L442" s="8">
        <v>0</v>
      </c>
      <c r="M442" s="24">
        <f t="shared" si="61"/>
        <v>2300</v>
      </c>
      <c r="N442" s="24">
        <v>0</v>
      </c>
      <c r="O442" s="240">
        <f t="shared" si="62"/>
        <v>7.157358128247535E-05</v>
      </c>
    </row>
    <row r="443" spans="1:15" ht="16.5" customHeight="1">
      <c r="A443" s="17"/>
      <c r="B443" s="28" t="s">
        <v>301</v>
      </c>
      <c r="C443" s="8" t="s">
        <v>302</v>
      </c>
      <c r="D443" s="8"/>
      <c r="E443" s="8">
        <v>3300</v>
      </c>
      <c r="F443" s="8">
        <v>0</v>
      </c>
      <c r="G443" s="8">
        <v>0</v>
      </c>
      <c r="H443" s="8">
        <v>700</v>
      </c>
      <c r="I443" s="8">
        <v>0</v>
      </c>
      <c r="J443" s="8">
        <v>0</v>
      </c>
      <c r="K443" s="8">
        <v>720</v>
      </c>
      <c r="L443" s="8">
        <v>0</v>
      </c>
      <c r="M443" s="24">
        <f t="shared" si="61"/>
        <v>720</v>
      </c>
      <c r="N443" s="24">
        <v>0</v>
      </c>
      <c r="O443" s="240">
        <f t="shared" si="62"/>
        <v>2.240564283625315E-05</v>
      </c>
    </row>
    <row r="444" spans="1:15" ht="14.25" customHeight="1">
      <c r="A444" s="17"/>
      <c r="B444" s="28" t="s">
        <v>303</v>
      </c>
      <c r="C444" s="8" t="s">
        <v>304</v>
      </c>
      <c r="D444" s="8"/>
      <c r="E444" s="8">
        <v>50719</v>
      </c>
      <c r="F444" s="8">
        <v>0</v>
      </c>
      <c r="G444" s="8">
        <v>0</v>
      </c>
      <c r="H444" s="8">
        <v>14000</v>
      </c>
      <c r="I444" s="8">
        <v>0</v>
      </c>
      <c r="J444" s="8">
        <v>0</v>
      </c>
      <c r="K444" s="8">
        <v>25289</v>
      </c>
      <c r="L444" s="8">
        <v>0</v>
      </c>
      <c r="M444" s="24">
        <f t="shared" si="61"/>
        <v>25289</v>
      </c>
      <c r="N444" s="24">
        <v>0</v>
      </c>
      <c r="O444" s="240">
        <f t="shared" si="62"/>
        <v>0.0007869670856750083</v>
      </c>
    </row>
    <row r="445" spans="1:15" ht="20.25" customHeight="1">
      <c r="A445" s="17"/>
      <c r="B445" s="28" t="s">
        <v>462</v>
      </c>
      <c r="C445" s="459" t="s">
        <v>739</v>
      </c>
      <c r="D445" s="8"/>
      <c r="E445" s="8"/>
      <c r="F445" s="8"/>
      <c r="G445" s="8"/>
      <c r="H445" s="8"/>
      <c r="I445" s="8"/>
      <c r="J445" s="8"/>
      <c r="K445" s="8">
        <v>315230</v>
      </c>
      <c r="L445" s="8">
        <v>0</v>
      </c>
      <c r="M445" s="24">
        <v>0</v>
      </c>
      <c r="N445" s="24">
        <f>K445</f>
        <v>315230</v>
      </c>
      <c r="O445" s="240">
        <f t="shared" si="62"/>
        <v>0.009809626098989001</v>
      </c>
    </row>
    <row r="446" spans="1:15" ht="15.75" customHeight="1">
      <c r="A446" s="17" t="s">
        <v>394</v>
      </c>
      <c r="B446" s="17"/>
      <c r="C446" s="4" t="s">
        <v>497</v>
      </c>
      <c r="D446" s="7">
        <f>D447+D448+D449+D450</f>
        <v>722000</v>
      </c>
      <c r="E446" s="7" t="e">
        <f>E447+E448+E449+E450+E451+E459+E453+E454+E455+E456+#REF!+E458+#REF!+E460+E461+E462</f>
        <v>#REF!</v>
      </c>
      <c r="F446" s="7" t="e">
        <f>F447+F448+F449+F450+F451+F459+F453+F454+F455+F456+#REF!+F458+#REF!+F460+F461+F462</f>
        <v>#REF!</v>
      </c>
      <c r="G446" s="7" t="e">
        <f>G447+G448+G449+G450+G451+G459+G453+G454+G455+G456+#REF!+G458+#REF!+G460+G461+G462</f>
        <v>#REF!</v>
      </c>
      <c r="H446" s="7" t="e">
        <f>H447+H448+H449+H450+H452+H459+H453+H454+H455+H456+H458+#REF!+H460+H461+H462+H463+H457</f>
        <v>#REF!</v>
      </c>
      <c r="I446" s="7" t="e">
        <f>I447+I448+I449+I450+I452+I459+I453+I454+I455+I456+I458+#REF!+I460+I461+I462+I463+I457</f>
        <v>#REF!</v>
      </c>
      <c r="J446" s="7" t="e">
        <f>J447+J448+J449+J450+J452+J459+J453+J454+J455+J456+J458+#REF!+J460+J461+J462+J463+J457</f>
        <v>#REF!</v>
      </c>
      <c r="K446" s="7">
        <f>SUM(K447:K463)</f>
        <v>862085</v>
      </c>
      <c r="L446" s="7">
        <f>SUM(L447:L463)</f>
        <v>0</v>
      </c>
      <c r="M446" s="7">
        <f>SUM(M447:M463)</f>
        <v>862085</v>
      </c>
      <c r="N446" s="7">
        <f>SUM(N447:N463)</f>
        <v>0</v>
      </c>
      <c r="O446" s="240">
        <f t="shared" si="62"/>
        <v>0.026827178617349026</v>
      </c>
    </row>
    <row r="447" spans="1:15" ht="14.25" customHeight="1">
      <c r="A447" s="23"/>
      <c r="B447" s="28" t="s">
        <v>281</v>
      </c>
      <c r="C447" s="11" t="s">
        <v>282</v>
      </c>
      <c r="D447" s="8">
        <v>365300</v>
      </c>
      <c r="E447" s="8">
        <v>330000</v>
      </c>
      <c r="F447" s="8">
        <v>17400</v>
      </c>
      <c r="G447" s="8">
        <v>0</v>
      </c>
      <c r="H447" s="8">
        <v>350982</v>
      </c>
      <c r="I447" s="8">
        <v>0</v>
      </c>
      <c r="J447" s="8">
        <v>0</v>
      </c>
      <c r="K447" s="8">
        <v>393290</v>
      </c>
      <c r="L447" s="8">
        <v>0</v>
      </c>
      <c r="M447" s="24">
        <f>K447</f>
        <v>393290</v>
      </c>
      <c r="N447" s="24">
        <v>0</v>
      </c>
      <c r="O447" s="240">
        <f t="shared" si="62"/>
        <v>0.012238771209819447</v>
      </c>
    </row>
    <row r="448" spans="1:15" ht="14.25" customHeight="1">
      <c r="A448" s="23"/>
      <c r="B448" s="28" t="s">
        <v>285</v>
      </c>
      <c r="C448" s="11" t="s">
        <v>286</v>
      </c>
      <c r="D448" s="8">
        <v>30580</v>
      </c>
      <c r="E448" s="8">
        <v>31050</v>
      </c>
      <c r="F448" s="8">
        <v>0</v>
      </c>
      <c r="G448" s="8">
        <v>0</v>
      </c>
      <c r="H448" s="8">
        <v>23796</v>
      </c>
      <c r="I448" s="8">
        <v>0</v>
      </c>
      <c r="J448" s="8">
        <v>0</v>
      </c>
      <c r="K448" s="8">
        <v>31265</v>
      </c>
      <c r="L448" s="8">
        <v>0</v>
      </c>
      <c r="M448" s="24">
        <f aca="true" t="shared" si="63" ref="M448:M463">K448</f>
        <v>31265</v>
      </c>
      <c r="N448" s="24">
        <v>0</v>
      </c>
      <c r="O448" s="240">
        <f t="shared" si="62"/>
        <v>0.0009729339212159094</v>
      </c>
    </row>
    <row r="449" spans="1:15" ht="14.25" customHeight="1">
      <c r="A449" s="23"/>
      <c r="B449" s="25" t="s">
        <v>338</v>
      </c>
      <c r="C449" s="11" t="s">
        <v>355</v>
      </c>
      <c r="D449" s="8">
        <v>77860</v>
      </c>
      <c r="E449" s="8">
        <v>64495</v>
      </c>
      <c r="F449" s="8">
        <v>0</v>
      </c>
      <c r="G449" s="8">
        <v>0</v>
      </c>
      <c r="H449" s="8">
        <v>73896</v>
      </c>
      <c r="I449" s="8">
        <v>0</v>
      </c>
      <c r="J449" s="8">
        <v>0</v>
      </c>
      <c r="K449" s="8">
        <v>69029</v>
      </c>
      <c r="L449" s="8">
        <v>0</v>
      </c>
      <c r="M449" s="24">
        <f t="shared" si="63"/>
        <v>69029</v>
      </c>
      <c r="N449" s="24">
        <v>0</v>
      </c>
      <c r="O449" s="240">
        <f t="shared" si="62"/>
        <v>0.0021481098879773874</v>
      </c>
    </row>
    <row r="450" spans="1:15" ht="12.75" customHeight="1">
      <c r="A450" s="23"/>
      <c r="B450" s="28" t="s">
        <v>289</v>
      </c>
      <c r="C450" s="8" t="s">
        <v>290</v>
      </c>
      <c r="D450" s="8">
        <v>248260</v>
      </c>
      <c r="E450" s="8">
        <v>8850</v>
      </c>
      <c r="F450" s="8">
        <v>0</v>
      </c>
      <c r="G450" s="8">
        <v>0</v>
      </c>
      <c r="H450" s="8">
        <v>9182</v>
      </c>
      <c r="I450" s="8">
        <v>0</v>
      </c>
      <c r="J450" s="8">
        <v>0</v>
      </c>
      <c r="K450" s="8">
        <v>9539</v>
      </c>
      <c r="L450" s="8">
        <v>0</v>
      </c>
      <c r="M450" s="24">
        <f t="shared" si="63"/>
        <v>9539</v>
      </c>
      <c r="N450" s="24">
        <v>0</v>
      </c>
      <c r="O450" s="240">
        <f t="shared" si="62"/>
        <v>0.0002968436486319706</v>
      </c>
    </row>
    <row r="451" spans="1:15" ht="12.75" customHeight="1" hidden="1">
      <c r="A451" s="23"/>
      <c r="B451" s="28"/>
      <c r="C451" s="8" t="s">
        <v>329</v>
      </c>
      <c r="D451" s="8"/>
      <c r="E451" s="8">
        <v>8200</v>
      </c>
      <c r="F451" s="8">
        <v>0</v>
      </c>
      <c r="G451" s="8">
        <v>0</v>
      </c>
      <c r="H451" s="8"/>
      <c r="I451" s="8">
        <v>0</v>
      </c>
      <c r="J451" s="8">
        <v>0</v>
      </c>
      <c r="K451" s="8"/>
      <c r="L451" s="8">
        <v>0</v>
      </c>
      <c r="M451" s="24">
        <f t="shared" si="63"/>
        <v>0</v>
      </c>
      <c r="N451" s="24">
        <v>0</v>
      </c>
      <c r="O451" s="240">
        <f t="shared" si="62"/>
        <v>0</v>
      </c>
    </row>
    <row r="452" spans="1:15" ht="20.25" customHeight="1" hidden="1">
      <c r="A452" s="23"/>
      <c r="B452" s="28" t="s">
        <v>269</v>
      </c>
      <c r="C452" s="8" t="s">
        <v>498</v>
      </c>
      <c r="D452" s="8"/>
      <c r="E452" s="8"/>
      <c r="F452" s="8"/>
      <c r="G452" s="8"/>
      <c r="H452" s="8">
        <v>0</v>
      </c>
      <c r="I452" s="8">
        <v>0</v>
      </c>
      <c r="J452" s="8">
        <v>0</v>
      </c>
      <c r="K452" s="8"/>
      <c r="L452" s="8">
        <v>0</v>
      </c>
      <c r="M452" s="24">
        <f t="shared" si="63"/>
        <v>0</v>
      </c>
      <c r="N452" s="24">
        <v>0</v>
      </c>
      <c r="O452" s="240">
        <f t="shared" si="62"/>
        <v>0</v>
      </c>
    </row>
    <row r="453" spans="1:15" ht="13.5" customHeight="1">
      <c r="A453" s="23"/>
      <c r="B453" s="28" t="s">
        <v>291</v>
      </c>
      <c r="C453" s="8" t="s">
        <v>428</v>
      </c>
      <c r="D453" s="8"/>
      <c r="E453" s="8">
        <v>6795</v>
      </c>
      <c r="F453" s="8">
        <v>474</v>
      </c>
      <c r="G453" s="8">
        <v>0</v>
      </c>
      <c r="H453" s="20">
        <v>21937</v>
      </c>
      <c r="I453" s="8">
        <v>0</v>
      </c>
      <c r="J453" s="8">
        <v>0</v>
      </c>
      <c r="K453" s="8">
        <v>18800</v>
      </c>
      <c r="L453" s="8">
        <v>0</v>
      </c>
      <c r="M453" s="24">
        <f t="shared" si="63"/>
        <v>18800</v>
      </c>
      <c r="N453" s="24">
        <v>0</v>
      </c>
      <c r="O453" s="240">
        <f t="shared" si="62"/>
        <v>0.0005850362296132768</v>
      </c>
    </row>
    <row r="454" spans="1:15" ht="14.25" customHeight="1">
      <c r="A454" s="23"/>
      <c r="B454" s="28" t="s">
        <v>379</v>
      </c>
      <c r="C454" s="8" t="s">
        <v>495</v>
      </c>
      <c r="D454" s="8"/>
      <c r="E454" s="8">
        <v>40000</v>
      </c>
      <c r="F454" s="8">
        <v>10000</v>
      </c>
      <c r="G454" s="8">
        <v>0</v>
      </c>
      <c r="H454" s="20">
        <v>76000</v>
      </c>
      <c r="I454" s="8">
        <v>0</v>
      </c>
      <c r="J454" s="8">
        <v>0</v>
      </c>
      <c r="K454" s="8">
        <v>1000</v>
      </c>
      <c r="L454" s="8">
        <v>0</v>
      </c>
      <c r="M454" s="24">
        <f t="shared" si="63"/>
        <v>1000</v>
      </c>
      <c r="N454" s="24">
        <v>0</v>
      </c>
      <c r="O454" s="240">
        <f t="shared" si="62"/>
        <v>3.1118948383684935E-05</v>
      </c>
    </row>
    <row r="455" spans="1:15" ht="12.75" customHeight="1">
      <c r="A455" s="23"/>
      <c r="B455" s="28" t="s">
        <v>499</v>
      </c>
      <c r="C455" s="8" t="s">
        <v>500</v>
      </c>
      <c r="D455" s="8"/>
      <c r="E455" s="8">
        <v>4000</v>
      </c>
      <c r="F455" s="8">
        <v>0</v>
      </c>
      <c r="G455" s="8">
        <v>0</v>
      </c>
      <c r="H455" s="20">
        <v>5800</v>
      </c>
      <c r="I455" s="8">
        <v>0</v>
      </c>
      <c r="J455" s="8">
        <v>0</v>
      </c>
      <c r="K455" s="8">
        <v>7500</v>
      </c>
      <c r="L455" s="8">
        <v>0</v>
      </c>
      <c r="M455" s="24">
        <f t="shared" si="63"/>
        <v>7500</v>
      </c>
      <c r="N455" s="24">
        <v>0</v>
      </c>
      <c r="O455" s="240">
        <f t="shared" si="62"/>
        <v>0.000233392112877637</v>
      </c>
    </row>
    <row r="456" spans="1:15" ht="14.25" customHeight="1">
      <c r="A456" s="23"/>
      <c r="B456" s="28" t="s">
        <v>293</v>
      </c>
      <c r="C456" s="8" t="s">
        <v>383</v>
      </c>
      <c r="D456" s="8"/>
      <c r="E456" s="8">
        <v>62480</v>
      </c>
      <c r="F456" s="8">
        <v>4000</v>
      </c>
      <c r="G456" s="8">
        <v>0</v>
      </c>
      <c r="H456" s="20">
        <v>89314</v>
      </c>
      <c r="I456" s="8">
        <v>0</v>
      </c>
      <c r="J456" s="8">
        <v>0</v>
      </c>
      <c r="K456" s="8">
        <v>46340</v>
      </c>
      <c r="L456" s="8">
        <v>0</v>
      </c>
      <c r="M456" s="24">
        <f t="shared" si="63"/>
        <v>46340</v>
      </c>
      <c r="N456" s="24">
        <v>0</v>
      </c>
      <c r="O456" s="240">
        <f t="shared" si="62"/>
        <v>0.0014420520680999598</v>
      </c>
    </row>
    <row r="457" spans="1:15" ht="14.25" customHeight="1">
      <c r="A457" s="23"/>
      <c r="B457" s="28" t="s">
        <v>53</v>
      </c>
      <c r="C457" s="8" t="s">
        <v>54</v>
      </c>
      <c r="D457" s="8"/>
      <c r="E457" s="8"/>
      <c r="F457" s="8"/>
      <c r="G457" s="8"/>
      <c r="H457" s="20">
        <v>7119</v>
      </c>
      <c r="I457" s="8">
        <v>0</v>
      </c>
      <c r="J457" s="8">
        <v>0</v>
      </c>
      <c r="K457" s="8">
        <v>500</v>
      </c>
      <c r="L457" s="8">
        <v>0</v>
      </c>
      <c r="M457" s="24">
        <f t="shared" si="63"/>
        <v>500</v>
      </c>
      <c r="N457" s="24">
        <v>0</v>
      </c>
      <c r="O457" s="240">
        <f t="shared" si="62"/>
        <v>1.5559474191842467E-05</v>
      </c>
    </row>
    <row r="458" spans="1:15" ht="15.75" customHeight="1">
      <c r="A458" s="23"/>
      <c r="B458" s="28" t="s">
        <v>297</v>
      </c>
      <c r="C458" s="8" t="s">
        <v>385</v>
      </c>
      <c r="D458" s="8"/>
      <c r="E458" s="8">
        <v>5000</v>
      </c>
      <c r="F458" s="8">
        <v>0</v>
      </c>
      <c r="G458" s="8">
        <v>0</v>
      </c>
      <c r="H458" s="20">
        <v>32500</v>
      </c>
      <c r="I458" s="8">
        <v>0</v>
      </c>
      <c r="J458" s="8">
        <v>0</v>
      </c>
      <c r="K458" s="8">
        <v>155650</v>
      </c>
      <c r="L458" s="8">
        <v>0</v>
      </c>
      <c r="M458" s="24">
        <f t="shared" si="63"/>
        <v>155650</v>
      </c>
      <c r="N458" s="24">
        <v>0</v>
      </c>
      <c r="O458" s="240">
        <f t="shared" si="62"/>
        <v>0.00484366431592056</v>
      </c>
    </row>
    <row r="459" spans="1:15" ht="15.75" customHeight="1">
      <c r="A459" s="23"/>
      <c r="B459" s="28" t="s">
        <v>299</v>
      </c>
      <c r="C459" s="8" t="s">
        <v>300</v>
      </c>
      <c r="D459" s="8"/>
      <c r="E459" s="8">
        <v>1000</v>
      </c>
      <c r="F459" s="8">
        <v>0</v>
      </c>
      <c r="G459" s="8">
        <v>0</v>
      </c>
      <c r="H459" s="20">
        <v>1050</v>
      </c>
      <c r="I459" s="8">
        <v>0</v>
      </c>
      <c r="J459" s="8">
        <v>0</v>
      </c>
      <c r="K459" s="8">
        <v>800</v>
      </c>
      <c r="L459" s="8">
        <v>0</v>
      </c>
      <c r="M459" s="24">
        <f>K459</f>
        <v>800</v>
      </c>
      <c r="N459" s="24">
        <v>0</v>
      </c>
      <c r="O459" s="240">
        <f t="shared" si="62"/>
        <v>2.4895158706947945E-05</v>
      </c>
    </row>
    <row r="460" spans="1:15" ht="13.5" customHeight="1">
      <c r="A460" s="23"/>
      <c r="B460" s="28" t="s">
        <v>303</v>
      </c>
      <c r="C460" s="8" t="s">
        <v>304</v>
      </c>
      <c r="D460" s="8"/>
      <c r="E460" s="8">
        <v>13110</v>
      </c>
      <c r="F460" s="8">
        <v>0</v>
      </c>
      <c r="G460" s="8">
        <v>0</v>
      </c>
      <c r="H460" s="8">
        <v>14000</v>
      </c>
      <c r="I460" s="8">
        <v>0</v>
      </c>
      <c r="J460" s="8">
        <v>0</v>
      </c>
      <c r="K460" s="8">
        <v>15408</v>
      </c>
      <c r="L460" s="8">
        <v>0</v>
      </c>
      <c r="M460" s="24">
        <f t="shared" si="63"/>
        <v>15408</v>
      </c>
      <c r="N460" s="24">
        <v>0</v>
      </c>
      <c r="O460" s="240">
        <f t="shared" si="62"/>
        <v>0.00047948075669581745</v>
      </c>
    </row>
    <row r="461" spans="1:15" ht="14.25" customHeight="1">
      <c r="A461" s="23"/>
      <c r="B461" s="28" t="s">
        <v>319</v>
      </c>
      <c r="C461" s="8" t="s">
        <v>320</v>
      </c>
      <c r="D461" s="8"/>
      <c r="E461" s="8">
        <v>1000</v>
      </c>
      <c r="F461" s="8">
        <v>0</v>
      </c>
      <c r="G461" s="8">
        <v>60</v>
      </c>
      <c r="H461" s="8">
        <v>1896</v>
      </c>
      <c r="I461" s="8">
        <v>0</v>
      </c>
      <c r="J461" s="8">
        <v>0</v>
      </c>
      <c r="K461" s="8">
        <v>2538</v>
      </c>
      <c r="L461" s="8">
        <v>0</v>
      </c>
      <c r="M461" s="24">
        <f t="shared" si="63"/>
        <v>2538</v>
      </c>
      <c r="N461" s="24">
        <v>0</v>
      </c>
      <c r="O461" s="240">
        <f t="shared" si="62"/>
        <v>7.897989099779236E-05</v>
      </c>
    </row>
    <row r="462" spans="1:15" ht="15" customHeight="1">
      <c r="A462" s="23"/>
      <c r="B462" s="28" t="s">
        <v>389</v>
      </c>
      <c r="C462" s="8" t="s">
        <v>390</v>
      </c>
      <c r="D462" s="8"/>
      <c r="E462" s="8">
        <v>500</v>
      </c>
      <c r="F462" s="8">
        <v>0</v>
      </c>
      <c r="G462" s="8">
        <v>70</v>
      </c>
      <c r="H462" s="8">
        <v>427</v>
      </c>
      <c r="I462" s="8">
        <v>0</v>
      </c>
      <c r="J462" s="8">
        <v>0</v>
      </c>
      <c r="K462" s="8">
        <v>426</v>
      </c>
      <c r="L462" s="8">
        <v>0</v>
      </c>
      <c r="M462" s="24">
        <f t="shared" si="63"/>
        <v>426</v>
      </c>
      <c r="N462" s="24">
        <v>0</v>
      </c>
      <c r="O462" s="240">
        <f t="shared" si="62"/>
        <v>1.3256672011449781E-05</v>
      </c>
    </row>
    <row r="463" spans="1:15" ht="12.75" customHeight="1">
      <c r="A463" s="23"/>
      <c r="B463" s="28" t="s">
        <v>321</v>
      </c>
      <c r="C463" s="8" t="s">
        <v>175</v>
      </c>
      <c r="D463" s="8"/>
      <c r="E463" s="8"/>
      <c r="F463" s="8"/>
      <c r="G463" s="8"/>
      <c r="H463" s="8">
        <v>126026</v>
      </c>
      <c r="I463" s="8">
        <v>0</v>
      </c>
      <c r="J463" s="8">
        <v>0</v>
      </c>
      <c r="K463" s="8">
        <v>110000</v>
      </c>
      <c r="L463" s="8">
        <v>0</v>
      </c>
      <c r="M463" s="24">
        <f t="shared" si="63"/>
        <v>110000</v>
      </c>
      <c r="N463" s="24">
        <v>0</v>
      </c>
      <c r="O463" s="240">
        <f t="shared" si="62"/>
        <v>0.0034230843222053426</v>
      </c>
    </row>
    <row r="464" spans="1:15" ht="15.75" customHeight="1">
      <c r="A464" s="26" t="s">
        <v>399</v>
      </c>
      <c r="B464" s="28"/>
      <c r="C464" s="4" t="s">
        <v>501</v>
      </c>
      <c r="D464" s="7">
        <f>D467</f>
        <v>1308000</v>
      </c>
      <c r="E464" s="7">
        <f>E467</f>
        <v>1138000</v>
      </c>
      <c r="F464" s="7">
        <f>F467</f>
        <v>0</v>
      </c>
      <c r="G464" s="7">
        <f>G467</f>
        <v>0</v>
      </c>
      <c r="H464" s="7">
        <f>H467+H468</f>
        <v>744716</v>
      </c>
      <c r="I464" s="7">
        <f>I467+I468</f>
        <v>0</v>
      </c>
      <c r="J464" s="7">
        <f>J467+J468</f>
        <v>0</v>
      </c>
      <c r="K464" s="7">
        <f>K465+K466+K467+K468</f>
        <v>952360</v>
      </c>
      <c r="L464" s="7">
        <f>L465+L466+L467+L468</f>
        <v>0</v>
      </c>
      <c r="M464" s="7">
        <f>M465+M466+M467+M468</f>
        <v>935154</v>
      </c>
      <c r="N464" s="7">
        <f>N465+N466+N467+N468</f>
        <v>17206</v>
      </c>
      <c r="O464" s="240">
        <f t="shared" si="62"/>
        <v>0.02963644168268618</v>
      </c>
    </row>
    <row r="465" spans="1:15" ht="15.75" customHeight="1">
      <c r="A465" s="26"/>
      <c r="B465" s="28" t="s">
        <v>344</v>
      </c>
      <c r="C465" s="29" t="s">
        <v>756</v>
      </c>
      <c r="D465" s="7"/>
      <c r="E465" s="7"/>
      <c r="F465" s="7"/>
      <c r="G465" s="7"/>
      <c r="H465" s="7"/>
      <c r="I465" s="7"/>
      <c r="J465" s="7"/>
      <c r="K465" s="20">
        <v>10679</v>
      </c>
      <c r="L465" s="20">
        <v>0</v>
      </c>
      <c r="M465" s="20">
        <v>0</v>
      </c>
      <c r="N465" s="20">
        <f>K465</f>
        <v>10679</v>
      </c>
      <c r="O465" s="240">
        <f t="shared" si="62"/>
        <v>0.0003323192497893714</v>
      </c>
    </row>
    <row r="466" spans="1:15" ht="15.75" customHeight="1">
      <c r="A466" s="26"/>
      <c r="B466" s="28" t="s">
        <v>462</v>
      </c>
      <c r="C466" s="29" t="s">
        <v>757</v>
      </c>
      <c r="D466" s="7"/>
      <c r="E466" s="7"/>
      <c r="F466" s="7"/>
      <c r="G466" s="7"/>
      <c r="H466" s="7"/>
      <c r="I466" s="7"/>
      <c r="J466" s="7"/>
      <c r="K466" s="20">
        <v>6527</v>
      </c>
      <c r="L466" s="20">
        <v>0</v>
      </c>
      <c r="M466" s="20">
        <v>0</v>
      </c>
      <c r="N466" s="20">
        <f>K466</f>
        <v>6527</v>
      </c>
      <c r="O466" s="240">
        <f t="shared" si="62"/>
        <v>0.00020311337610031156</v>
      </c>
    </row>
    <row r="467" spans="1:15" ht="13.5" customHeight="1">
      <c r="A467" s="26"/>
      <c r="B467" s="28" t="s">
        <v>493</v>
      </c>
      <c r="C467" s="29" t="s">
        <v>494</v>
      </c>
      <c r="D467" s="20">
        <v>1308000</v>
      </c>
      <c r="E467" s="20">
        <v>1138000</v>
      </c>
      <c r="F467" s="20">
        <v>0</v>
      </c>
      <c r="G467" s="20">
        <v>0</v>
      </c>
      <c r="H467" s="8">
        <v>728506</v>
      </c>
      <c r="I467" s="8">
        <v>0</v>
      </c>
      <c r="J467" s="8">
        <v>0</v>
      </c>
      <c r="K467" s="8">
        <v>918944</v>
      </c>
      <c r="L467" s="20">
        <v>0</v>
      </c>
      <c r="M467" s="21">
        <f>K467</f>
        <v>918944</v>
      </c>
      <c r="N467" s="21">
        <v>0</v>
      </c>
      <c r="O467" s="240">
        <f t="shared" si="62"/>
        <v>0.028596570903496966</v>
      </c>
    </row>
    <row r="468" spans="1:15" ht="16.5" customHeight="1">
      <c r="A468" s="26"/>
      <c r="B468" s="28" t="s">
        <v>291</v>
      </c>
      <c r="C468" s="29" t="s">
        <v>318</v>
      </c>
      <c r="D468" s="20"/>
      <c r="E468" s="20"/>
      <c r="F468" s="20"/>
      <c r="G468" s="20"/>
      <c r="H468" s="8">
        <v>16210</v>
      </c>
      <c r="I468" s="8">
        <v>0</v>
      </c>
      <c r="J468" s="8">
        <v>0</v>
      </c>
      <c r="K468" s="8">
        <v>16210</v>
      </c>
      <c r="L468" s="20">
        <v>0</v>
      </c>
      <c r="M468" s="21">
        <f>K468</f>
        <v>16210</v>
      </c>
      <c r="N468" s="21">
        <v>0</v>
      </c>
      <c r="O468" s="240">
        <f t="shared" si="62"/>
        <v>0.0005044381532995327</v>
      </c>
    </row>
    <row r="469" spans="1:15" ht="24.75" customHeight="1">
      <c r="A469" s="26" t="s">
        <v>395</v>
      </c>
      <c r="B469" s="28"/>
      <c r="C469" s="4" t="s">
        <v>503</v>
      </c>
      <c r="D469" s="7">
        <f>D470+D471+D472+D474</f>
        <v>134584</v>
      </c>
      <c r="E469" s="7">
        <f>E470+E471+E472+E473+E474+E476+E477+E478+E480+E482</f>
        <v>185500</v>
      </c>
      <c r="F469" s="7">
        <f>F470+F471+F472+F473+F474+F476+F477+F478+F480+F482</f>
        <v>5714</v>
      </c>
      <c r="G469" s="7">
        <f>G470+G471+G472+G473+G474+G476+G477+G478+G480+G482</f>
        <v>2671</v>
      </c>
      <c r="H469" s="7">
        <f>H470+H471+H472+H473+H476+H477+H478+H480+H482</f>
        <v>132083</v>
      </c>
      <c r="I469" s="7">
        <f>I470+I471+I472+I473+I476+I477+I478+I480+I482</f>
        <v>0</v>
      </c>
      <c r="J469" s="7">
        <f>J470+J471+J472+J473+J476+J477+J478+J480+J482</f>
        <v>0</v>
      </c>
      <c r="K469" s="7">
        <f>K470+K471+K472+K473+K475+K476+K477+K478+K479+K480+K481+K482</f>
        <v>218864</v>
      </c>
      <c r="L469" s="7">
        <f>L470+L471+L472+L473+L475+L476+L477+L478+L479+L480+L481+L482</f>
        <v>0</v>
      </c>
      <c r="M469" s="19">
        <f>M470+M471+M472+M473+M474+M475+M476+M477+M478+M479+M480+M481+M482</f>
        <v>218864</v>
      </c>
      <c r="N469" s="19">
        <f>N470+N471+N472+N473+N474+N475+N479+N480+N481+N482</f>
        <v>0</v>
      </c>
      <c r="O469" s="240">
        <f t="shared" si="62"/>
        <v>0.006810817519046819</v>
      </c>
    </row>
    <row r="470" spans="1:15" ht="15" customHeight="1">
      <c r="A470" s="519"/>
      <c r="B470" s="28" t="s">
        <v>281</v>
      </c>
      <c r="C470" s="11" t="s">
        <v>282</v>
      </c>
      <c r="D470" s="8">
        <v>85744</v>
      </c>
      <c r="E470" s="8">
        <v>121480</v>
      </c>
      <c r="F470" s="8">
        <v>0</v>
      </c>
      <c r="G470" s="8">
        <v>2671</v>
      </c>
      <c r="H470" s="8">
        <v>72999</v>
      </c>
      <c r="I470" s="8">
        <v>0</v>
      </c>
      <c r="J470" s="8">
        <v>0</v>
      </c>
      <c r="K470" s="8">
        <v>130571</v>
      </c>
      <c r="L470" s="8">
        <v>0</v>
      </c>
      <c r="M470" s="24">
        <f>K470-L470</f>
        <v>130571</v>
      </c>
      <c r="N470" s="24">
        <v>0</v>
      </c>
      <c r="O470" s="240">
        <f aca="true" t="shared" si="64" ref="O470:O501">K470/$K$616</f>
        <v>0.004063232209406125</v>
      </c>
    </row>
    <row r="471" spans="1:15" ht="13.5" customHeight="1">
      <c r="A471" s="519"/>
      <c r="B471" s="28" t="s">
        <v>285</v>
      </c>
      <c r="C471" s="11" t="s">
        <v>286</v>
      </c>
      <c r="D471" s="8">
        <v>4800</v>
      </c>
      <c r="E471" s="8">
        <v>6578</v>
      </c>
      <c r="F471" s="8">
        <v>0</v>
      </c>
      <c r="G471" s="8">
        <v>0</v>
      </c>
      <c r="H471" s="20">
        <v>5710</v>
      </c>
      <c r="I471" s="8">
        <v>0</v>
      </c>
      <c r="J471" s="8">
        <v>0</v>
      </c>
      <c r="K471" s="8">
        <v>14301</v>
      </c>
      <c r="L471" s="8">
        <v>0</v>
      </c>
      <c r="M471" s="24">
        <f aca="true" t="shared" si="65" ref="M471:M482">K471-L471</f>
        <v>14301</v>
      </c>
      <c r="N471" s="24">
        <v>0</v>
      </c>
      <c r="O471" s="240">
        <f t="shared" si="64"/>
        <v>0.0004450320808350782</v>
      </c>
    </row>
    <row r="472" spans="1:15" ht="14.25" customHeight="1">
      <c r="A472" s="519"/>
      <c r="B472" s="35" t="s">
        <v>338</v>
      </c>
      <c r="C472" s="11" t="s">
        <v>315</v>
      </c>
      <c r="D472" s="8">
        <v>18394</v>
      </c>
      <c r="E472" s="8">
        <v>22179</v>
      </c>
      <c r="F472" s="8">
        <v>0</v>
      </c>
      <c r="G472" s="8">
        <v>0</v>
      </c>
      <c r="H472" s="20">
        <v>14515</v>
      </c>
      <c r="I472" s="8">
        <v>0</v>
      </c>
      <c r="J472" s="8">
        <v>0</v>
      </c>
      <c r="K472" s="8">
        <v>26352</v>
      </c>
      <c r="L472" s="8">
        <v>0</v>
      </c>
      <c r="M472" s="24">
        <f t="shared" si="65"/>
        <v>26352</v>
      </c>
      <c r="N472" s="24">
        <v>0</v>
      </c>
      <c r="O472" s="240">
        <f t="shared" si="64"/>
        <v>0.0008200465278068653</v>
      </c>
    </row>
    <row r="473" spans="1:15" ht="14.25" customHeight="1">
      <c r="A473" s="519"/>
      <c r="B473" s="35" t="s">
        <v>289</v>
      </c>
      <c r="C473" s="11" t="s">
        <v>290</v>
      </c>
      <c r="D473" s="8"/>
      <c r="E473" s="8">
        <v>3039</v>
      </c>
      <c r="F473" s="8">
        <v>0</v>
      </c>
      <c r="G473" s="8">
        <v>0</v>
      </c>
      <c r="H473" s="20">
        <v>1927</v>
      </c>
      <c r="I473" s="8">
        <v>0</v>
      </c>
      <c r="J473" s="8">
        <v>0</v>
      </c>
      <c r="K473" s="8">
        <v>3549</v>
      </c>
      <c r="L473" s="8">
        <v>0</v>
      </c>
      <c r="M473" s="24">
        <f t="shared" si="65"/>
        <v>3549</v>
      </c>
      <c r="N473" s="24">
        <v>0</v>
      </c>
      <c r="O473" s="240">
        <f t="shared" si="64"/>
        <v>0.00011044114781369783</v>
      </c>
    </row>
    <row r="474" spans="1:15" ht="16.5" customHeight="1" hidden="1">
      <c r="A474" s="519"/>
      <c r="B474" s="28"/>
      <c r="C474" s="8" t="s">
        <v>329</v>
      </c>
      <c r="D474" s="8">
        <v>25646</v>
      </c>
      <c r="E474" s="8">
        <v>840</v>
      </c>
      <c r="F474" s="8">
        <v>0</v>
      </c>
      <c r="G474" s="8">
        <v>0</v>
      </c>
      <c r="H474" s="20"/>
      <c r="I474" s="8">
        <v>0</v>
      </c>
      <c r="J474" s="8">
        <v>0</v>
      </c>
      <c r="K474" s="8"/>
      <c r="L474" s="8"/>
      <c r="M474" s="24">
        <f t="shared" si="65"/>
        <v>0</v>
      </c>
      <c r="N474" s="24">
        <v>0</v>
      </c>
      <c r="O474" s="240">
        <f t="shared" si="64"/>
        <v>0</v>
      </c>
    </row>
    <row r="475" spans="1:15" ht="14.25" customHeight="1">
      <c r="A475" s="23"/>
      <c r="B475" s="28" t="s">
        <v>37</v>
      </c>
      <c r="C475" s="8" t="s">
        <v>52</v>
      </c>
      <c r="D475" s="8"/>
      <c r="E475" s="8"/>
      <c r="F475" s="8"/>
      <c r="G475" s="8"/>
      <c r="H475" s="20"/>
      <c r="I475" s="8"/>
      <c r="J475" s="8"/>
      <c r="K475" s="8">
        <v>1000</v>
      </c>
      <c r="L475" s="8">
        <v>0</v>
      </c>
      <c r="M475" s="24">
        <f>K475</f>
        <v>1000</v>
      </c>
      <c r="N475" s="24">
        <v>0</v>
      </c>
      <c r="O475" s="240">
        <f t="shared" si="64"/>
        <v>3.1118948383684935E-05</v>
      </c>
    </row>
    <row r="476" spans="1:15" ht="14.25" customHeight="1">
      <c r="A476" s="23"/>
      <c r="B476" s="28" t="s">
        <v>291</v>
      </c>
      <c r="C476" s="8" t="s">
        <v>428</v>
      </c>
      <c r="D476" s="8"/>
      <c r="E476" s="8">
        <v>5070</v>
      </c>
      <c r="F476" s="8">
        <v>500</v>
      </c>
      <c r="G476" s="8">
        <v>0</v>
      </c>
      <c r="H476" s="20">
        <v>7461</v>
      </c>
      <c r="I476" s="8">
        <v>0</v>
      </c>
      <c r="J476" s="8">
        <v>0</v>
      </c>
      <c r="K476" s="8">
        <v>15210</v>
      </c>
      <c r="L476" s="8">
        <v>0</v>
      </c>
      <c r="M476" s="24">
        <f t="shared" si="65"/>
        <v>15210</v>
      </c>
      <c r="N476" s="24">
        <v>0</v>
      </c>
      <c r="O476" s="240">
        <f t="shared" si="64"/>
        <v>0.00047331920491584784</v>
      </c>
    </row>
    <row r="477" spans="1:15" ht="14.25" customHeight="1">
      <c r="A477" s="23"/>
      <c r="B477" s="28" t="s">
        <v>293</v>
      </c>
      <c r="C477" s="8" t="s">
        <v>383</v>
      </c>
      <c r="D477" s="8"/>
      <c r="E477" s="8">
        <v>3015</v>
      </c>
      <c r="F477" s="8">
        <v>500</v>
      </c>
      <c r="G477" s="8">
        <v>0</v>
      </c>
      <c r="H477" s="20">
        <v>6000</v>
      </c>
      <c r="I477" s="8">
        <v>0</v>
      </c>
      <c r="J477" s="8">
        <v>0</v>
      </c>
      <c r="K477" s="8">
        <v>11260</v>
      </c>
      <c r="L477" s="8">
        <v>0</v>
      </c>
      <c r="M477" s="24">
        <f t="shared" si="65"/>
        <v>11260</v>
      </c>
      <c r="N477" s="24">
        <v>0</v>
      </c>
      <c r="O477" s="240">
        <f t="shared" si="64"/>
        <v>0.00035039935880029236</v>
      </c>
    </row>
    <row r="478" spans="1:15" ht="13.5" customHeight="1">
      <c r="A478" s="23"/>
      <c r="B478" s="28" t="s">
        <v>297</v>
      </c>
      <c r="C478" s="8" t="s">
        <v>385</v>
      </c>
      <c r="D478" s="8"/>
      <c r="E478" s="8">
        <v>19008</v>
      </c>
      <c r="F478" s="8">
        <v>2043</v>
      </c>
      <c r="G478" s="8">
        <v>0</v>
      </c>
      <c r="H478" s="8">
        <v>19291</v>
      </c>
      <c r="I478" s="8">
        <v>0</v>
      </c>
      <c r="J478" s="8">
        <v>0</v>
      </c>
      <c r="K478" s="8">
        <v>8772</v>
      </c>
      <c r="L478" s="8">
        <v>0</v>
      </c>
      <c r="M478" s="24">
        <f t="shared" si="65"/>
        <v>8772</v>
      </c>
      <c r="N478" s="24">
        <v>0</v>
      </c>
      <c r="O478" s="240">
        <f t="shared" si="64"/>
        <v>0.00027297541522168425</v>
      </c>
    </row>
    <row r="479" spans="1:15" ht="14.25" customHeight="1">
      <c r="A479" s="23"/>
      <c r="B479" s="28" t="s">
        <v>53</v>
      </c>
      <c r="C479" s="8" t="s">
        <v>54</v>
      </c>
      <c r="D479" s="8"/>
      <c r="E479" s="8"/>
      <c r="F479" s="8"/>
      <c r="G479" s="8"/>
      <c r="H479" s="8"/>
      <c r="I479" s="8"/>
      <c r="J479" s="8"/>
      <c r="K479" s="8">
        <v>1449</v>
      </c>
      <c r="L479" s="8">
        <v>0</v>
      </c>
      <c r="M479" s="24">
        <f>K479</f>
        <v>1449</v>
      </c>
      <c r="N479" s="24">
        <v>0</v>
      </c>
      <c r="O479" s="240">
        <f t="shared" si="64"/>
        <v>4.509135620795947E-05</v>
      </c>
    </row>
    <row r="480" spans="1:15" ht="13.5" customHeight="1">
      <c r="A480" s="23"/>
      <c r="B480" s="28" t="s">
        <v>299</v>
      </c>
      <c r="C480" s="8" t="s">
        <v>300</v>
      </c>
      <c r="D480" s="8"/>
      <c r="E480" s="8">
        <v>2618</v>
      </c>
      <c r="F480" s="8">
        <v>0</v>
      </c>
      <c r="G480" s="8">
        <v>0</v>
      </c>
      <c r="H480" s="8">
        <v>1000</v>
      </c>
      <c r="I480" s="8">
        <v>0</v>
      </c>
      <c r="J480" s="8">
        <v>0</v>
      </c>
      <c r="K480" s="8">
        <v>1200</v>
      </c>
      <c r="L480" s="8">
        <v>0</v>
      </c>
      <c r="M480" s="24">
        <f t="shared" si="65"/>
        <v>1200</v>
      </c>
      <c r="N480" s="24">
        <v>0</v>
      </c>
      <c r="O480" s="240">
        <f t="shared" si="64"/>
        <v>3.734273806042192E-05</v>
      </c>
    </row>
    <row r="481" spans="1:15" ht="15" customHeight="1">
      <c r="A481" s="23"/>
      <c r="B481" s="28" t="s">
        <v>80</v>
      </c>
      <c r="C481" s="8" t="s">
        <v>740</v>
      </c>
      <c r="D481" s="8"/>
      <c r="E481" s="8"/>
      <c r="F481" s="8"/>
      <c r="G481" s="8"/>
      <c r="H481" s="8"/>
      <c r="I481" s="8"/>
      <c r="J481" s="8"/>
      <c r="K481" s="8">
        <v>120</v>
      </c>
      <c r="L481" s="8">
        <v>0</v>
      </c>
      <c r="M481" s="24">
        <f>K481</f>
        <v>120</v>
      </c>
      <c r="N481" s="24">
        <v>0</v>
      </c>
      <c r="O481" s="240">
        <f t="shared" si="64"/>
        <v>3.734273806042192E-06</v>
      </c>
    </row>
    <row r="482" spans="1:15" ht="14.25" customHeight="1">
      <c r="A482" s="23"/>
      <c r="B482" s="28" t="s">
        <v>303</v>
      </c>
      <c r="C482" s="8" t="s">
        <v>304</v>
      </c>
      <c r="D482" s="8"/>
      <c r="E482" s="8">
        <v>1673</v>
      </c>
      <c r="F482" s="8">
        <v>2671</v>
      </c>
      <c r="G482" s="8">
        <v>0</v>
      </c>
      <c r="H482" s="8">
        <v>3180</v>
      </c>
      <c r="I482" s="8">
        <v>0</v>
      </c>
      <c r="J482" s="8">
        <v>0</v>
      </c>
      <c r="K482" s="8">
        <v>5080</v>
      </c>
      <c r="L482" s="8">
        <v>0</v>
      </c>
      <c r="M482" s="24">
        <f t="shared" si="65"/>
        <v>5080</v>
      </c>
      <c r="N482" s="24">
        <v>0</v>
      </c>
      <c r="O482" s="240">
        <f t="shared" si="64"/>
        <v>0.00015808425778911946</v>
      </c>
    </row>
    <row r="483" spans="1:15" s="37" customFormat="1" ht="33" customHeight="1">
      <c r="A483" s="26" t="s">
        <v>576</v>
      </c>
      <c r="B483" s="17"/>
      <c r="C483" s="204" t="s">
        <v>577</v>
      </c>
      <c r="D483" s="7"/>
      <c r="E483" s="7"/>
      <c r="F483" s="7"/>
      <c r="G483" s="7"/>
      <c r="H483" s="7"/>
      <c r="I483" s="7"/>
      <c r="J483" s="7"/>
      <c r="K483" s="7">
        <f>SUM(K484:K494)</f>
        <v>46168</v>
      </c>
      <c r="L483" s="7">
        <f>SUM(L484:L494)</f>
        <v>0</v>
      </c>
      <c r="M483" s="7">
        <f>SUM(M484:M494)</f>
        <v>46168</v>
      </c>
      <c r="N483" s="7">
        <f>SUM(N484:N494)</f>
        <v>0</v>
      </c>
      <c r="O483" s="240">
        <f t="shared" si="64"/>
        <v>0.001436699608977966</v>
      </c>
    </row>
    <row r="484" spans="1:15" s="37" customFormat="1" ht="13.5" customHeight="1">
      <c r="A484" s="26"/>
      <c r="B484" s="30" t="s">
        <v>281</v>
      </c>
      <c r="C484" s="11" t="s">
        <v>282</v>
      </c>
      <c r="D484" s="20"/>
      <c r="E484" s="20"/>
      <c r="F484" s="20"/>
      <c r="G484" s="20"/>
      <c r="H484" s="20"/>
      <c r="I484" s="20"/>
      <c r="J484" s="20"/>
      <c r="K484" s="20">
        <v>24101</v>
      </c>
      <c r="L484" s="20">
        <v>0</v>
      </c>
      <c r="M484" s="20">
        <f>K484</f>
        <v>24101</v>
      </c>
      <c r="N484" s="20">
        <v>0</v>
      </c>
      <c r="O484" s="240">
        <f t="shared" si="64"/>
        <v>0.0007499977749951906</v>
      </c>
    </row>
    <row r="485" spans="1:15" s="37" customFormat="1" ht="12" customHeight="1">
      <c r="A485" s="26"/>
      <c r="B485" s="30" t="s">
        <v>314</v>
      </c>
      <c r="C485" s="11" t="s">
        <v>315</v>
      </c>
      <c r="D485" s="20"/>
      <c r="E485" s="20"/>
      <c r="F485" s="20"/>
      <c r="G485" s="20"/>
      <c r="H485" s="20"/>
      <c r="I485" s="20"/>
      <c r="J485" s="20"/>
      <c r="K485" s="20">
        <v>4384</v>
      </c>
      <c r="L485" s="20">
        <v>0</v>
      </c>
      <c r="M485" s="20">
        <f aca="true" t="shared" si="66" ref="M485:M494">K485</f>
        <v>4384</v>
      </c>
      <c r="N485" s="20">
        <v>0</v>
      </c>
      <c r="O485" s="240">
        <f t="shared" si="64"/>
        <v>0.00013642546971407473</v>
      </c>
    </row>
    <row r="486" spans="1:15" s="37" customFormat="1" ht="13.5" customHeight="1">
      <c r="A486" s="26"/>
      <c r="B486" s="30" t="s">
        <v>289</v>
      </c>
      <c r="C486" s="11" t="s">
        <v>290</v>
      </c>
      <c r="D486" s="20"/>
      <c r="E486" s="20"/>
      <c r="F486" s="20"/>
      <c r="G486" s="20"/>
      <c r="H486" s="20"/>
      <c r="I486" s="20"/>
      <c r="J486" s="20"/>
      <c r="K486" s="20">
        <v>590</v>
      </c>
      <c r="L486" s="20">
        <v>0</v>
      </c>
      <c r="M486" s="20">
        <f t="shared" si="66"/>
        <v>590</v>
      </c>
      <c r="N486" s="20">
        <v>0</v>
      </c>
      <c r="O486" s="240">
        <f t="shared" si="64"/>
        <v>1.836017954637411E-05</v>
      </c>
    </row>
    <row r="487" spans="1:15" ht="14.25" customHeight="1">
      <c r="A487" s="23"/>
      <c r="B487" s="28" t="s">
        <v>291</v>
      </c>
      <c r="C487" s="8" t="s">
        <v>292</v>
      </c>
      <c r="D487" s="8"/>
      <c r="E487" s="8"/>
      <c r="F487" s="8"/>
      <c r="G487" s="8"/>
      <c r="H487" s="8"/>
      <c r="I487" s="8"/>
      <c r="J487" s="8"/>
      <c r="K487" s="20">
        <v>5500</v>
      </c>
      <c r="L487" s="20">
        <v>0</v>
      </c>
      <c r="M487" s="20">
        <f t="shared" si="66"/>
        <v>5500</v>
      </c>
      <c r="N487" s="20">
        <v>0</v>
      </c>
      <c r="O487" s="240">
        <f t="shared" si="64"/>
        <v>0.00017115421611026713</v>
      </c>
    </row>
    <row r="488" spans="1:15" ht="14.25" customHeight="1">
      <c r="A488" s="23"/>
      <c r="B488" s="28" t="s">
        <v>499</v>
      </c>
      <c r="C488" s="8" t="s">
        <v>113</v>
      </c>
      <c r="D488" s="8"/>
      <c r="E488" s="8"/>
      <c r="F488" s="8"/>
      <c r="G488" s="8"/>
      <c r="H488" s="8"/>
      <c r="I488" s="8"/>
      <c r="J488" s="8"/>
      <c r="K488" s="20">
        <v>300</v>
      </c>
      <c r="L488" s="20">
        <v>0</v>
      </c>
      <c r="M488" s="20">
        <f t="shared" si="66"/>
        <v>300</v>
      </c>
      <c r="N488" s="20">
        <v>0</v>
      </c>
      <c r="O488" s="240">
        <f t="shared" si="64"/>
        <v>9.33568451510548E-06</v>
      </c>
    </row>
    <row r="489" spans="1:15" ht="14.25" customHeight="1">
      <c r="A489" s="23"/>
      <c r="B489" s="28" t="s">
        <v>293</v>
      </c>
      <c r="C489" s="8" t="s">
        <v>383</v>
      </c>
      <c r="D489" s="8"/>
      <c r="E489" s="8"/>
      <c r="F489" s="8"/>
      <c r="G489" s="8"/>
      <c r="H489" s="8"/>
      <c r="I489" s="8"/>
      <c r="J489" s="8"/>
      <c r="K489" s="20">
        <v>5820</v>
      </c>
      <c r="L489" s="20">
        <v>0</v>
      </c>
      <c r="M489" s="20">
        <f t="shared" si="66"/>
        <v>5820</v>
      </c>
      <c r="N489" s="20">
        <v>0</v>
      </c>
      <c r="O489" s="240">
        <f t="shared" si="64"/>
        <v>0.00018111227959304632</v>
      </c>
    </row>
    <row r="490" spans="1:15" ht="14.25" customHeight="1">
      <c r="A490" s="23"/>
      <c r="B490" s="28" t="s">
        <v>295</v>
      </c>
      <c r="C490" s="8" t="s">
        <v>384</v>
      </c>
      <c r="D490" s="8"/>
      <c r="E490" s="8"/>
      <c r="F490" s="8"/>
      <c r="G490" s="8"/>
      <c r="H490" s="8"/>
      <c r="I490" s="8"/>
      <c r="J490" s="8"/>
      <c r="K490" s="20">
        <v>0</v>
      </c>
      <c r="L490" s="20">
        <v>0</v>
      </c>
      <c r="M490" s="20">
        <f t="shared" si="66"/>
        <v>0</v>
      </c>
      <c r="N490" s="20">
        <v>0</v>
      </c>
      <c r="O490" s="240">
        <f t="shared" si="64"/>
        <v>0</v>
      </c>
    </row>
    <row r="491" spans="1:15" ht="14.25" customHeight="1">
      <c r="A491" s="23"/>
      <c r="B491" s="28" t="s">
        <v>297</v>
      </c>
      <c r="C491" s="8" t="s">
        <v>385</v>
      </c>
      <c r="D491" s="8"/>
      <c r="E491" s="8"/>
      <c r="F491" s="8"/>
      <c r="G491" s="8"/>
      <c r="H491" s="8"/>
      <c r="I491" s="8"/>
      <c r="J491" s="8"/>
      <c r="K491" s="20">
        <v>2280</v>
      </c>
      <c r="L491" s="20">
        <v>0</v>
      </c>
      <c r="M491" s="20">
        <f t="shared" si="66"/>
        <v>2280</v>
      </c>
      <c r="N491" s="20">
        <v>0</v>
      </c>
      <c r="O491" s="240">
        <f t="shared" si="64"/>
        <v>7.095120231480165E-05</v>
      </c>
    </row>
    <row r="492" spans="1:15" ht="14.25" customHeight="1">
      <c r="A492" s="23"/>
      <c r="B492" s="28" t="s">
        <v>53</v>
      </c>
      <c r="C492" s="8" t="s">
        <v>54</v>
      </c>
      <c r="D492" s="8"/>
      <c r="E492" s="8"/>
      <c r="F492" s="8"/>
      <c r="G492" s="8"/>
      <c r="H492" s="8"/>
      <c r="I492" s="8"/>
      <c r="J492" s="8"/>
      <c r="K492" s="20">
        <v>864</v>
      </c>
      <c r="L492" s="20">
        <v>0</v>
      </c>
      <c r="M492" s="20">
        <f t="shared" si="66"/>
        <v>864</v>
      </c>
      <c r="N492" s="20">
        <v>0</v>
      </c>
      <c r="O492" s="240">
        <f t="shared" si="64"/>
        <v>2.688677140350378E-05</v>
      </c>
    </row>
    <row r="493" spans="1:15" ht="14.25" customHeight="1">
      <c r="A493" s="23"/>
      <c r="B493" s="28" t="s">
        <v>299</v>
      </c>
      <c r="C493" s="8" t="s">
        <v>300</v>
      </c>
      <c r="D493" s="8"/>
      <c r="E493" s="8"/>
      <c r="F493" s="8"/>
      <c r="G493" s="8"/>
      <c r="H493" s="8"/>
      <c r="I493" s="8"/>
      <c r="J493" s="8"/>
      <c r="K493" s="20">
        <v>1200</v>
      </c>
      <c r="L493" s="20">
        <v>0</v>
      </c>
      <c r="M493" s="20">
        <f t="shared" si="66"/>
        <v>1200</v>
      </c>
      <c r="N493" s="20">
        <v>0</v>
      </c>
      <c r="O493" s="240">
        <f t="shared" si="64"/>
        <v>3.734273806042192E-05</v>
      </c>
    </row>
    <row r="494" spans="1:15" ht="14.25" customHeight="1">
      <c r="A494" s="23"/>
      <c r="B494" s="28" t="s">
        <v>303</v>
      </c>
      <c r="C494" s="8" t="s">
        <v>304</v>
      </c>
      <c r="D494" s="8"/>
      <c r="E494" s="8"/>
      <c r="F494" s="8"/>
      <c r="G494" s="8"/>
      <c r="H494" s="8"/>
      <c r="I494" s="8"/>
      <c r="J494" s="8"/>
      <c r="K494" s="20">
        <v>1129</v>
      </c>
      <c r="L494" s="20">
        <v>0</v>
      </c>
      <c r="M494" s="20">
        <f t="shared" si="66"/>
        <v>1129</v>
      </c>
      <c r="N494" s="20">
        <v>0</v>
      </c>
      <c r="O494" s="240">
        <f t="shared" si="64"/>
        <v>3.513329272518029E-05</v>
      </c>
    </row>
    <row r="495" spans="1:15" ht="18" customHeight="1">
      <c r="A495" s="26" t="s">
        <v>617</v>
      </c>
      <c r="B495" s="26"/>
      <c r="C495" s="461" t="s">
        <v>618</v>
      </c>
      <c r="D495" s="8"/>
      <c r="E495" s="8"/>
      <c r="F495" s="8"/>
      <c r="G495" s="8"/>
      <c r="H495" s="8"/>
      <c r="I495" s="8"/>
      <c r="J495" s="8"/>
      <c r="K495" s="7">
        <f>K497</f>
        <v>2200</v>
      </c>
      <c r="L495" s="7">
        <f>L497</f>
        <v>0</v>
      </c>
      <c r="M495" s="19">
        <f>M497</f>
        <v>2200</v>
      </c>
      <c r="N495" s="24">
        <f>N497</f>
        <v>0</v>
      </c>
      <c r="O495" s="240">
        <f t="shared" si="64"/>
        <v>6.846168644410685E-05</v>
      </c>
    </row>
    <row r="496" spans="1:15" s="107" customFormat="1" ht="13.5" customHeight="1">
      <c r="A496" s="34"/>
      <c r="B496" s="34" t="s">
        <v>78</v>
      </c>
      <c r="C496" s="29" t="s">
        <v>760</v>
      </c>
      <c r="D496" s="20"/>
      <c r="E496" s="20"/>
      <c r="F496" s="20"/>
      <c r="G496" s="20"/>
      <c r="H496" s="20"/>
      <c r="I496" s="20"/>
      <c r="J496" s="20"/>
      <c r="K496" s="20">
        <v>0</v>
      </c>
      <c r="L496" s="20">
        <v>0</v>
      </c>
      <c r="M496" s="21">
        <v>0</v>
      </c>
      <c r="N496" s="21">
        <v>0</v>
      </c>
      <c r="O496" s="240">
        <f t="shared" si="64"/>
        <v>0</v>
      </c>
    </row>
    <row r="497" spans="1:15" ht="13.5" customHeight="1">
      <c r="A497" s="23"/>
      <c r="B497" s="23" t="s">
        <v>297</v>
      </c>
      <c r="C497" s="29" t="s">
        <v>385</v>
      </c>
      <c r="D497" s="8"/>
      <c r="E497" s="8"/>
      <c r="F497" s="8"/>
      <c r="G497" s="8"/>
      <c r="H497" s="8"/>
      <c r="I497" s="8"/>
      <c r="J497" s="8"/>
      <c r="K497" s="8">
        <v>2200</v>
      </c>
      <c r="L497" s="8">
        <v>0</v>
      </c>
      <c r="M497" s="24">
        <f>K497</f>
        <v>2200</v>
      </c>
      <c r="N497" s="24">
        <v>0</v>
      </c>
      <c r="O497" s="240">
        <f t="shared" si="64"/>
        <v>6.846168644410685E-05</v>
      </c>
    </row>
    <row r="498" spans="1:15" ht="17.25" customHeight="1">
      <c r="A498" s="26" t="s">
        <v>397</v>
      </c>
      <c r="B498" s="26"/>
      <c r="C498" s="461" t="s">
        <v>357</v>
      </c>
      <c r="D498" s="7"/>
      <c r="E498" s="7" t="e">
        <f>#REF!+#REF!</f>
        <v>#REF!</v>
      </c>
      <c r="F498" s="7" t="e">
        <f>#REF!+#REF!</f>
        <v>#REF!</v>
      </c>
      <c r="G498" s="7" t="e">
        <f>#REF!+#REF!</f>
        <v>#REF!</v>
      </c>
      <c r="H498" s="7" t="e">
        <f>#REF!+H501</f>
        <v>#REF!</v>
      </c>
      <c r="I498" s="7" t="e">
        <f>#REF!+I501</f>
        <v>#REF!</v>
      </c>
      <c r="J498" s="7" t="e">
        <f>#REF!+J501</f>
        <v>#REF!</v>
      </c>
      <c r="K498" s="7">
        <f>K499+K500+K501</f>
        <v>500</v>
      </c>
      <c r="L498" s="7">
        <f>L499+L500+L501</f>
        <v>0</v>
      </c>
      <c r="M498" s="7">
        <f>M499+M500+M501</f>
        <v>500</v>
      </c>
      <c r="N498" s="7">
        <f>N499+N500+N501</f>
        <v>0</v>
      </c>
      <c r="O498" s="240">
        <f t="shared" si="64"/>
        <v>1.5559474191842467E-05</v>
      </c>
    </row>
    <row r="499" spans="1:15" ht="14.25" customHeight="1">
      <c r="A499" s="26"/>
      <c r="B499" s="34" t="s">
        <v>291</v>
      </c>
      <c r="C499" s="29" t="s">
        <v>318</v>
      </c>
      <c r="D499" s="20"/>
      <c r="E499" s="20"/>
      <c r="F499" s="20"/>
      <c r="G499" s="20"/>
      <c r="H499" s="20"/>
      <c r="I499" s="20"/>
      <c r="J499" s="20"/>
      <c r="K499" s="20">
        <v>0</v>
      </c>
      <c r="L499" s="20">
        <v>0</v>
      </c>
      <c r="M499" s="20">
        <f>K499</f>
        <v>0</v>
      </c>
      <c r="N499" s="20">
        <v>0</v>
      </c>
      <c r="O499" s="240">
        <f t="shared" si="64"/>
        <v>0</v>
      </c>
    </row>
    <row r="500" spans="1:15" ht="12.75" customHeight="1">
      <c r="A500" s="26"/>
      <c r="B500" s="34" t="s">
        <v>303</v>
      </c>
      <c r="C500" s="29" t="s">
        <v>578</v>
      </c>
      <c r="D500" s="20"/>
      <c r="E500" s="20"/>
      <c r="F500" s="20"/>
      <c r="G500" s="20"/>
      <c r="H500" s="20"/>
      <c r="I500" s="20"/>
      <c r="J500" s="20"/>
      <c r="K500" s="20">
        <v>0</v>
      </c>
      <c r="L500" s="20">
        <v>0</v>
      </c>
      <c r="M500" s="20">
        <f>K500</f>
        <v>0</v>
      </c>
      <c r="N500" s="20">
        <v>0</v>
      </c>
      <c r="O500" s="240">
        <f t="shared" si="64"/>
        <v>0</v>
      </c>
    </row>
    <row r="501" spans="1:73" ht="14.25" customHeight="1">
      <c r="A501" s="23"/>
      <c r="B501" s="23" t="s">
        <v>297</v>
      </c>
      <c r="C501" s="29" t="s">
        <v>298</v>
      </c>
      <c r="D501" s="8"/>
      <c r="E501" s="8">
        <v>6515</v>
      </c>
      <c r="F501" s="8">
        <v>3292</v>
      </c>
      <c r="G501" s="8">
        <v>0</v>
      </c>
      <c r="H501" s="8">
        <v>2885</v>
      </c>
      <c r="I501" s="8">
        <v>0</v>
      </c>
      <c r="J501" s="8">
        <v>0</v>
      </c>
      <c r="K501" s="8">
        <v>500</v>
      </c>
      <c r="L501" s="8">
        <v>0</v>
      </c>
      <c r="M501" s="24">
        <f>K501</f>
        <v>500</v>
      </c>
      <c r="N501" s="24">
        <v>0</v>
      </c>
      <c r="O501" s="240">
        <f t="shared" si="64"/>
        <v>1.5559474191842467E-05</v>
      </c>
      <c r="P501" s="301"/>
      <c r="Q501" s="301"/>
      <c r="R501" s="301"/>
      <c r="S501" s="301"/>
      <c r="T501" s="301"/>
      <c r="U501" s="301"/>
      <c r="V501" s="301"/>
      <c r="W501" s="301"/>
      <c r="X501" s="301"/>
      <c r="Y501" s="301"/>
      <c r="Z501" s="301"/>
      <c r="AA501" s="301"/>
      <c r="AB501" s="301"/>
      <c r="AC501" s="301"/>
      <c r="AD501" s="301"/>
      <c r="AE501" s="301"/>
      <c r="AF501" s="301"/>
      <c r="AG501" s="301"/>
      <c r="AH501" s="301"/>
      <c r="AI501" s="301"/>
      <c r="AJ501" s="301"/>
      <c r="AK501" s="301"/>
      <c r="AL501" s="301"/>
      <c r="AM501" s="301"/>
      <c r="AN501" s="301"/>
      <c r="AO501" s="301"/>
      <c r="AP501" s="301"/>
      <c r="AQ501" s="301"/>
      <c r="AR501" s="301"/>
      <c r="AS501" s="301"/>
      <c r="AT501" s="301"/>
      <c r="AU501" s="301"/>
      <c r="AV501" s="301"/>
      <c r="AW501" s="301"/>
      <c r="AX501" s="301"/>
      <c r="AY501" s="301"/>
      <c r="AZ501" s="301"/>
      <c r="BA501" s="301"/>
      <c r="BB501" s="301"/>
      <c r="BC501" s="301"/>
      <c r="BD501" s="301"/>
      <c r="BE501" s="301"/>
      <c r="BF501" s="301"/>
      <c r="BG501" s="301"/>
      <c r="BH501" s="301"/>
      <c r="BI501" s="301"/>
      <c r="BJ501" s="301"/>
      <c r="BK501" s="301"/>
      <c r="BL501" s="301"/>
      <c r="BM501" s="301"/>
      <c r="BN501" s="301"/>
      <c r="BO501" s="301"/>
      <c r="BP501" s="301"/>
      <c r="BQ501" s="301"/>
      <c r="BR501" s="301"/>
      <c r="BS501" s="301"/>
      <c r="BT501" s="301"/>
      <c r="BU501" s="301"/>
    </row>
    <row r="502" spans="1:73" s="286" customFormat="1" ht="24.75" customHeight="1">
      <c r="A502" s="294" t="s">
        <v>491</v>
      </c>
      <c r="B502" s="294"/>
      <c r="C502" s="296" t="s">
        <v>396</v>
      </c>
      <c r="D502" s="288"/>
      <c r="E502" s="288"/>
      <c r="F502" s="288"/>
      <c r="G502" s="288"/>
      <c r="H502" s="288"/>
      <c r="I502" s="288"/>
      <c r="J502" s="288"/>
      <c r="K502" s="288">
        <f>K503+K510</f>
        <v>890654</v>
      </c>
      <c r="L502" s="288">
        <f>L503+L510</f>
        <v>0</v>
      </c>
      <c r="M502" s="288">
        <f>M503+M510</f>
        <v>890654</v>
      </c>
      <c r="N502" s="288">
        <f>N503+N510</f>
        <v>0</v>
      </c>
      <c r="O502" s="285">
        <f aca="true" t="shared" si="67" ref="O502:O512">K502/$K$616</f>
        <v>0.02771621585372252</v>
      </c>
      <c r="P502" s="301"/>
      <c r="Q502" s="301"/>
      <c r="R502" s="301"/>
      <c r="S502" s="301"/>
      <c r="T502" s="301"/>
      <c r="U502" s="301"/>
      <c r="V502" s="301"/>
      <c r="W502" s="301"/>
      <c r="X502" s="301"/>
      <c r="Y502" s="301"/>
      <c r="Z502" s="301"/>
      <c r="AA502" s="301"/>
      <c r="AB502" s="301"/>
      <c r="AC502" s="301"/>
      <c r="AD502" s="301"/>
      <c r="AE502" s="301"/>
      <c r="AF502" s="301"/>
      <c r="AG502" s="301"/>
      <c r="AH502" s="301"/>
      <c r="AI502" s="301"/>
      <c r="AJ502" s="301"/>
      <c r="AK502" s="301"/>
      <c r="AL502" s="301"/>
      <c r="AM502" s="301"/>
      <c r="AN502" s="301"/>
      <c r="AO502" s="301"/>
      <c r="AP502" s="301"/>
      <c r="AQ502" s="301"/>
      <c r="AR502" s="301"/>
      <c r="AS502" s="301"/>
      <c r="AT502" s="301"/>
      <c r="AU502" s="301"/>
      <c r="AV502" s="301"/>
      <c r="AW502" s="301"/>
      <c r="AX502" s="301"/>
      <c r="AY502" s="301"/>
      <c r="AZ502" s="301"/>
      <c r="BA502" s="301"/>
      <c r="BB502" s="301"/>
      <c r="BC502" s="301"/>
      <c r="BD502" s="301"/>
      <c r="BE502" s="301"/>
      <c r="BF502" s="301"/>
      <c r="BG502" s="301"/>
      <c r="BH502" s="301"/>
      <c r="BI502" s="301"/>
      <c r="BJ502" s="301"/>
      <c r="BK502" s="301"/>
      <c r="BL502" s="301"/>
      <c r="BM502" s="301"/>
      <c r="BN502" s="301"/>
      <c r="BO502" s="301"/>
      <c r="BP502" s="301"/>
      <c r="BQ502" s="301"/>
      <c r="BR502" s="301"/>
      <c r="BS502" s="301"/>
      <c r="BT502" s="301"/>
      <c r="BU502" s="301"/>
    </row>
    <row r="503" spans="1:15" ht="16.5" customHeight="1">
      <c r="A503" s="26" t="s">
        <v>504</v>
      </c>
      <c r="B503" s="26"/>
      <c r="C503" s="4" t="s">
        <v>906</v>
      </c>
      <c r="D503" s="7"/>
      <c r="E503" s="7"/>
      <c r="F503" s="7"/>
      <c r="G503" s="7"/>
      <c r="H503" s="7"/>
      <c r="I503" s="7"/>
      <c r="J503" s="7"/>
      <c r="K503" s="7">
        <f>K504+K505+K506+K507+K508+K509</f>
        <v>20491</v>
      </c>
      <c r="L503" s="7">
        <f>L504+L505+L506+L507+L508+L509</f>
        <v>0</v>
      </c>
      <c r="M503" s="7">
        <f>M504+M505+M506+M507+M508+M509</f>
        <v>20491</v>
      </c>
      <c r="N503" s="7">
        <f>N504+N505+N506+N507+N508+N509</f>
        <v>0</v>
      </c>
      <c r="O503" s="240">
        <f t="shared" si="67"/>
        <v>0.0006376583713300879</v>
      </c>
    </row>
    <row r="504" spans="1:15" ht="14.25" customHeight="1">
      <c r="A504" s="23"/>
      <c r="B504" s="23" t="s">
        <v>281</v>
      </c>
      <c r="C504" s="29" t="s">
        <v>282</v>
      </c>
      <c r="D504" s="8">
        <v>16515</v>
      </c>
      <c r="E504" s="8">
        <v>15028</v>
      </c>
      <c r="F504" s="8">
        <v>0</v>
      </c>
      <c r="G504" s="8">
        <v>0</v>
      </c>
      <c r="H504" s="8">
        <v>9550</v>
      </c>
      <c r="I504" s="8">
        <v>0</v>
      </c>
      <c r="J504" s="8">
        <v>0</v>
      </c>
      <c r="K504" s="8">
        <v>15000</v>
      </c>
      <c r="L504" s="8">
        <v>0</v>
      </c>
      <c r="M504" s="24">
        <f aca="true" t="shared" si="68" ref="M504:M509">K504</f>
        <v>15000</v>
      </c>
      <c r="N504" s="24">
        <v>0</v>
      </c>
      <c r="O504" s="240">
        <f t="shared" si="67"/>
        <v>0.000466784225755274</v>
      </c>
    </row>
    <row r="505" spans="1:15" ht="12.75" customHeight="1">
      <c r="A505" s="23"/>
      <c r="B505" s="23" t="s">
        <v>285</v>
      </c>
      <c r="C505" s="29" t="s">
        <v>286</v>
      </c>
      <c r="D505" s="8"/>
      <c r="E505" s="8"/>
      <c r="F505" s="8"/>
      <c r="G505" s="8"/>
      <c r="H505" s="8">
        <v>765</v>
      </c>
      <c r="I505" s="8">
        <v>0</v>
      </c>
      <c r="J505" s="8">
        <v>0</v>
      </c>
      <c r="K505" s="8">
        <v>1275</v>
      </c>
      <c r="L505" s="8">
        <v>0</v>
      </c>
      <c r="M505" s="24">
        <f t="shared" si="68"/>
        <v>1275</v>
      </c>
      <c r="N505" s="24">
        <v>0</v>
      </c>
      <c r="O505" s="240">
        <f t="shared" si="67"/>
        <v>3.967665918919829E-05</v>
      </c>
    </row>
    <row r="506" spans="1:15" ht="14.25" customHeight="1">
      <c r="A506" s="23"/>
      <c r="B506" s="36" t="s">
        <v>314</v>
      </c>
      <c r="C506" s="29" t="s">
        <v>505</v>
      </c>
      <c r="D506" s="8">
        <v>3358</v>
      </c>
      <c r="E506" s="8">
        <v>2709</v>
      </c>
      <c r="F506" s="8">
        <v>0</v>
      </c>
      <c r="G506" s="8">
        <v>0</v>
      </c>
      <c r="H506" s="8">
        <v>1844</v>
      </c>
      <c r="I506" s="8">
        <v>0</v>
      </c>
      <c r="J506" s="8">
        <v>0</v>
      </c>
      <c r="K506" s="8">
        <v>2804</v>
      </c>
      <c r="L506" s="8">
        <v>0</v>
      </c>
      <c r="M506" s="24">
        <f t="shared" si="68"/>
        <v>2804</v>
      </c>
      <c r="N506" s="24">
        <v>0</v>
      </c>
      <c r="O506" s="240">
        <f t="shared" si="67"/>
        <v>8.725753126785255E-05</v>
      </c>
    </row>
    <row r="507" spans="1:15" ht="13.5" customHeight="1">
      <c r="A507" s="23"/>
      <c r="B507" s="36" t="s">
        <v>289</v>
      </c>
      <c r="C507" s="29" t="s">
        <v>290</v>
      </c>
      <c r="D507" s="8"/>
      <c r="E507" s="8">
        <v>371</v>
      </c>
      <c r="F507" s="8">
        <v>0</v>
      </c>
      <c r="G507" s="8">
        <v>0</v>
      </c>
      <c r="H507" s="8">
        <v>253</v>
      </c>
      <c r="I507" s="8">
        <v>0</v>
      </c>
      <c r="J507" s="8">
        <v>0</v>
      </c>
      <c r="K507" s="8">
        <v>399</v>
      </c>
      <c r="L507" s="8">
        <v>0</v>
      </c>
      <c r="M507" s="24">
        <f t="shared" si="68"/>
        <v>399</v>
      </c>
      <c r="N507" s="24">
        <v>0</v>
      </c>
      <c r="O507" s="240">
        <f t="shared" si="67"/>
        <v>1.2416460405090288E-05</v>
      </c>
    </row>
    <row r="508" spans="1:15" ht="14.25" customHeight="1">
      <c r="A508" s="23"/>
      <c r="B508" s="23" t="s">
        <v>297</v>
      </c>
      <c r="C508" s="29" t="s">
        <v>385</v>
      </c>
      <c r="D508" s="8"/>
      <c r="E508" s="8"/>
      <c r="F508" s="8"/>
      <c r="G508" s="8"/>
      <c r="H508" s="8">
        <v>29725</v>
      </c>
      <c r="I508" s="8">
        <v>0</v>
      </c>
      <c r="J508" s="8">
        <v>0</v>
      </c>
      <c r="K508" s="8">
        <v>561</v>
      </c>
      <c r="L508" s="8">
        <v>0</v>
      </c>
      <c r="M508" s="24">
        <f t="shared" si="68"/>
        <v>561</v>
      </c>
      <c r="N508" s="24">
        <v>0</v>
      </c>
      <c r="O508" s="240">
        <f t="shared" si="67"/>
        <v>1.745773004324725E-05</v>
      </c>
    </row>
    <row r="509" spans="1:15" ht="12.75" customHeight="1">
      <c r="A509" s="23"/>
      <c r="B509" s="23" t="s">
        <v>303</v>
      </c>
      <c r="C509" s="29" t="s">
        <v>304</v>
      </c>
      <c r="D509" s="8"/>
      <c r="E509" s="8"/>
      <c r="F509" s="8"/>
      <c r="G509" s="8"/>
      <c r="H509" s="8"/>
      <c r="I509" s="8"/>
      <c r="J509" s="8"/>
      <c r="K509" s="8">
        <v>452</v>
      </c>
      <c r="L509" s="8">
        <v>0</v>
      </c>
      <c r="M509" s="24">
        <f t="shared" si="68"/>
        <v>452</v>
      </c>
      <c r="N509" s="24">
        <v>0</v>
      </c>
      <c r="O509" s="240">
        <f t="shared" si="67"/>
        <v>1.406576466942559E-05</v>
      </c>
    </row>
    <row r="510" spans="1:15" ht="15.75" customHeight="1">
      <c r="A510" s="26" t="s">
        <v>511</v>
      </c>
      <c r="B510" s="23"/>
      <c r="C510" s="4" t="s">
        <v>512</v>
      </c>
      <c r="D510" s="7">
        <f>D512+D513+D514+D516</f>
        <v>982000</v>
      </c>
      <c r="E510" s="7" t="e">
        <f>E512+E513+E514+E515+E516+E517+E519+E520+#REF!+E521+E523+#REF!+#REF!</f>
        <v>#REF!</v>
      </c>
      <c r="F510" s="7" t="e">
        <f>F512+F513+F514+F515+F516+F517+F519+F520+#REF!+F521+F523+#REF!+#REF!</f>
        <v>#REF!</v>
      </c>
      <c r="G510" s="7" t="e">
        <f>G512+G513+G514+G515+G516+G517+G519+G520+#REF!+G521+G523+#REF!+#REF!</f>
        <v>#REF!</v>
      </c>
      <c r="H510" s="7" t="e">
        <f>H512+H513+H514+H515+H519+H520+H521+H523+#REF!+H524+#REF!</f>
        <v>#REF!</v>
      </c>
      <c r="I510" s="7" t="e">
        <f>I512+I513+I514+I515+I519+I520+I521+I523+#REF!+I524+#REF!</f>
        <v>#REF!</v>
      </c>
      <c r="J510" s="7" t="e">
        <f>J512+J513+J514+J515+J519+J520+J521+J523+#REF!+J524+#REF!</f>
        <v>#REF!</v>
      </c>
      <c r="K510" s="7">
        <f>SUM(K511:K525)</f>
        <v>870163</v>
      </c>
      <c r="L510" s="7">
        <f>SUM(L511:L525)</f>
        <v>0</v>
      </c>
      <c r="M510" s="7">
        <f>SUM(M511:M525)</f>
        <v>870163</v>
      </c>
      <c r="N510" s="7">
        <f>SUM(N511:N525)</f>
        <v>0</v>
      </c>
      <c r="O510" s="240">
        <f t="shared" si="67"/>
        <v>0.02707855748239243</v>
      </c>
    </row>
    <row r="511" spans="1:15" ht="15.75" customHeight="1">
      <c r="A511" s="26"/>
      <c r="B511" s="23" t="s">
        <v>269</v>
      </c>
      <c r="C511" s="29" t="s">
        <v>579</v>
      </c>
      <c r="D511" s="7"/>
      <c r="E511" s="7"/>
      <c r="F511" s="7"/>
      <c r="G511" s="7"/>
      <c r="H511" s="7"/>
      <c r="I511" s="7"/>
      <c r="J511" s="7"/>
      <c r="K511" s="20">
        <v>250</v>
      </c>
      <c r="L511" s="7"/>
      <c r="M511" s="20">
        <f>K511-L511</f>
        <v>250</v>
      </c>
      <c r="N511" s="7"/>
      <c r="O511" s="240">
        <f t="shared" si="67"/>
        <v>7.779737095921234E-06</v>
      </c>
    </row>
    <row r="512" spans="1:15" ht="17.25" customHeight="1">
      <c r="A512" s="23"/>
      <c r="B512" s="23" t="s">
        <v>281</v>
      </c>
      <c r="C512" s="29" t="s">
        <v>282</v>
      </c>
      <c r="D512" s="8">
        <v>606420</v>
      </c>
      <c r="E512" s="8">
        <v>652585</v>
      </c>
      <c r="F512" s="8">
        <v>0</v>
      </c>
      <c r="G512" s="8">
        <v>0</v>
      </c>
      <c r="H512" s="8">
        <v>370235</v>
      </c>
      <c r="I512" s="8">
        <v>0</v>
      </c>
      <c r="J512" s="8">
        <v>0</v>
      </c>
      <c r="K512" s="8">
        <v>567083</v>
      </c>
      <c r="L512" s="8">
        <v>0</v>
      </c>
      <c r="M512" s="24">
        <f>K512-L512</f>
        <v>567083</v>
      </c>
      <c r="N512" s="24">
        <v>0</v>
      </c>
      <c r="O512" s="240">
        <f t="shared" si="67"/>
        <v>0.017647026606265204</v>
      </c>
    </row>
    <row r="513" spans="1:15" ht="15" customHeight="1">
      <c r="A513" s="23"/>
      <c r="B513" s="23" t="s">
        <v>285</v>
      </c>
      <c r="C513" s="29" t="s">
        <v>286</v>
      </c>
      <c r="D513" s="8">
        <v>48267</v>
      </c>
      <c r="E513" s="8">
        <v>48566</v>
      </c>
      <c r="F513" s="8">
        <v>0</v>
      </c>
      <c r="G513" s="8">
        <v>0</v>
      </c>
      <c r="H513" s="20">
        <v>28767</v>
      </c>
      <c r="I513" s="20">
        <v>0</v>
      </c>
      <c r="J513" s="20">
        <v>0</v>
      </c>
      <c r="K513" s="8">
        <v>42982</v>
      </c>
      <c r="L513" s="8">
        <v>0</v>
      </c>
      <c r="M513" s="24">
        <f aca="true" t="shared" si="69" ref="M513:M524">K513-L513</f>
        <v>42982</v>
      </c>
      <c r="N513" s="24">
        <v>0</v>
      </c>
      <c r="O513" s="240">
        <f aca="true" t="shared" si="70" ref="O513:O518">K513/$K$616</f>
        <v>0.0013375546394275458</v>
      </c>
    </row>
    <row r="514" spans="1:15" ht="15" customHeight="1">
      <c r="A514" s="23"/>
      <c r="B514" s="36" t="s">
        <v>338</v>
      </c>
      <c r="C514" s="29" t="s">
        <v>355</v>
      </c>
      <c r="D514" s="8">
        <v>131863</v>
      </c>
      <c r="E514" s="8">
        <v>124716</v>
      </c>
      <c r="F514" s="8">
        <v>0</v>
      </c>
      <c r="G514" s="8">
        <v>0</v>
      </c>
      <c r="H514" s="8">
        <v>68092</v>
      </c>
      <c r="I514" s="8">
        <v>0</v>
      </c>
      <c r="J514" s="8">
        <v>0</v>
      </c>
      <c r="K514" s="8">
        <v>105116</v>
      </c>
      <c r="L514" s="8">
        <v>0</v>
      </c>
      <c r="M514" s="24">
        <f t="shared" si="69"/>
        <v>105116</v>
      </c>
      <c r="N514" s="24">
        <v>0</v>
      </c>
      <c r="O514" s="240">
        <f t="shared" si="70"/>
        <v>0.0032710993782994256</v>
      </c>
    </row>
    <row r="515" spans="1:15" ht="15" customHeight="1">
      <c r="A515" s="23"/>
      <c r="B515" s="36" t="s">
        <v>289</v>
      </c>
      <c r="C515" s="29" t="s">
        <v>290</v>
      </c>
      <c r="D515" s="8"/>
      <c r="E515" s="8">
        <v>16239</v>
      </c>
      <c r="F515" s="8">
        <v>0</v>
      </c>
      <c r="G515" s="8">
        <v>0</v>
      </c>
      <c r="H515" s="8">
        <v>11100</v>
      </c>
      <c r="I515" s="8">
        <v>0</v>
      </c>
      <c r="J515" s="8">
        <v>0</v>
      </c>
      <c r="K515" s="8">
        <v>12181</v>
      </c>
      <c r="L515" s="8">
        <v>0</v>
      </c>
      <c r="M515" s="24">
        <f t="shared" si="69"/>
        <v>12181</v>
      </c>
      <c r="N515" s="24">
        <v>0</v>
      </c>
      <c r="O515" s="240">
        <f t="shared" si="70"/>
        <v>0.0003790599102616662</v>
      </c>
    </row>
    <row r="516" spans="1:15" ht="18.75" customHeight="1" hidden="1">
      <c r="A516" s="23"/>
      <c r="B516" s="23" t="s">
        <v>303</v>
      </c>
      <c r="C516" s="29" t="s">
        <v>304</v>
      </c>
      <c r="D516" s="8">
        <v>195450</v>
      </c>
      <c r="E516" s="8">
        <v>21802</v>
      </c>
      <c r="F516" s="8">
        <v>0</v>
      </c>
      <c r="G516" s="8">
        <v>0</v>
      </c>
      <c r="H516" s="7"/>
      <c r="I516" s="7"/>
      <c r="J516" s="7"/>
      <c r="K516" s="8"/>
      <c r="L516" s="8">
        <v>0</v>
      </c>
      <c r="M516" s="24">
        <f t="shared" si="69"/>
        <v>0</v>
      </c>
      <c r="N516" s="24">
        <v>0</v>
      </c>
      <c r="O516" s="240">
        <f t="shared" si="70"/>
        <v>0</v>
      </c>
    </row>
    <row r="517" spans="1:15" ht="42" customHeight="1" hidden="1">
      <c r="A517" s="23"/>
      <c r="B517" s="23" t="s">
        <v>279</v>
      </c>
      <c r="C517" s="29" t="s">
        <v>348</v>
      </c>
      <c r="D517" s="8"/>
      <c r="E517" s="8">
        <v>5700</v>
      </c>
      <c r="F517" s="8">
        <v>0</v>
      </c>
      <c r="G517" s="8">
        <v>0</v>
      </c>
      <c r="H517" s="7"/>
      <c r="I517" s="7"/>
      <c r="J517" s="7"/>
      <c r="K517" s="8"/>
      <c r="L517" s="8">
        <v>0</v>
      </c>
      <c r="M517" s="24">
        <f t="shared" si="69"/>
        <v>0</v>
      </c>
      <c r="N517" s="24">
        <v>0</v>
      </c>
      <c r="O517" s="240">
        <f t="shared" si="70"/>
        <v>0</v>
      </c>
    </row>
    <row r="518" spans="1:15" ht="14.25" customHeight="1">
      <c r="A518" s="23"/>
      <c r="B518" s="23" t="s">
        <v>37</v>
      </c>
      <c r="C518" s="29" t="s">
        <v>52</v>
      </c>
      <c r="D518" s="8"/>
      <c r="E518" s="8"/>
      <c r="F518" s="8"/>
      <c r="G518" s="8"/>
      <c r="H518" s="7"/>
      <c r="I518" s="7"/>
      <c r="J518" s="7"/>
      <c r="K518" s="8">
        <v>6400</v>
      </c>
      <c r="L518" s="8">
        <v>0</v>
      </c>
      <c r="M518" s="24">
        <f t="shared" si="69"/>
        <v>6400</v>
      </c>
      <c r="N518" s="24">
        <v>0</v>
      </c>
      <c r="O518" s="240">
        <f t="shared" si="70"/>
        <v>0.00019916126965558356</v>
      </c>
    </row>
    <row r="519" spans="1:15" ht="14.25" customHeight="1">
      <c r="A519" s="23"/>
      <c r="B519" s="23" t="s">
        <v>291</v>
      </c>
      <c r="C519" s="29" t="s">
        <v>428</v>
      </c>
      <c r="D519" s="8"/>
      <c r="E519" s="8">
        <v>20202</v>
      </c>
      <c r="F519" s="8">
        <v>0</v>
      </c>
      <c r="G519" s="8">
        <v>0</v>
      </c>
      <c r="H519" s="8">
        <v>25567</v>
      </c>
      <c r="I519" s="8">
        <v>0</v>
      </c>
      <c r="J519" s="8">
        <v>0</v>
      </c>
      <c r="K519" s="8">
        <v>17000</v>
      </c>
      <c r="L519" s="8">
        <v>0</v>
      </c>
      <c r="M519" s="24">
        <f t="shared" si="69"/>
        <v>17000</v>
      </c>
      <c r="N519" s="24">
        <v>0</v>
      </c>
      <c r="O519" s="240">
        <f aca="true" t="shared" si="71" ref="O519:O550">K519/$K$616</f>
        <v>0.0005290221225226438</v>
      </c>
    </row>
    <row r="520" spans="1:15" ht="13.5" customHeight="1">
      <c r="A520" s="23"/>
      <c r="B520" s="23" t="s">
        <v>293</v>
      </c>
      <c r="C520" s="29" t="s">
        <v>383</v>
      </c>
      <c r="D520" s="8"/>
      <c r="E520" s="8">
        <v>31800</v>
      </c>
      <c r="F520" s="8">
        <v>0</v>
      </c>
      <c r="G520" s="8">
        <v>0</v>
      </c>
      <c r="H520" s="8">
        <v>34876</v>
      </c>
      <c r="I520" s="8">
        <v>0</v>
      </c>
      <c r="J520" s="8">
        <v>0</v>
      </c>
      <c r="K520" s="8">
        <v>29516</v>
      </c>
      <c r="L520" s="8">
        <v>0</v>
      </c>
      <c r="M520" s="24">
        <f t="shared" si="69"/>
        <v>29516</v>
      </c>
      <c r="N520" s="24">
        <v>0</v>
      </c>
      <c r="O520" s="240">
        <f t="shared" si="71"/>
        <v>0.0009185068804928445</v>
      </c>
    </row>
    <row r="521" spans="1:15" ht="15" customHeight="1">
      <c r="A521" s="23"/>
      <c r="B521" s="23" t="s">
        <v>297</v>
      </c>
      <c r="C521" s="29" t="s">
        <v>385</v>
      </c>
      <c r="D521" s="8"/>
      <c r="E521" s="8">
        <v>17850</v>
      </c>
      <c r="F521" s="8">
        <v>0</v>
      </c>
      <c r="G521" s="8">
        <v>0</v>
      </c>
      <c r="H521" s="8">
        <v>33475</v>
      </c>
      <c r="I521" s="8">
        <v>0</v>
      </c>
      <c r="J521" s="8">
        <v>0</v>
      </c>
      <c r="K521" s="8">
        <v>26830</v>
      </c>
      <c r="L521" s="8">
        <v>0</v>
      </c>
      <c r="M521" s="24">
        <f t="shared" si="69"/>
        <v>26830</v>
      </c>
      <c r="N521" s="24">
        <v>0</v>
      </c>
      <c r="O521" s="240">
        <f t="shared" si="71"/>
        <v>0.0008349213851342668</v>
      </c>
    </row>
    <row r="522" spans="1:15" ht="15" customHeight="1">
      <c r="A522" s="23"/>
      <c r="B522" s="23" t="s">
        <v>570</v>
      </c>
      <c r="C522" s="29" t="s">
        <v>385</v>
      </c>
      <c r="D522" s="8"/>
      <c r="E522" s="8"/>
      <c r="F522" s="8"/>
      <c r="G522" s="8"/>
      <c r="H522" s="8"/>
      <c r="I522" s="8"/>
      <c r="J522" s="8"/>
      <c r="K522" s="8">
        <v>20000</v>
      </c>
      <c r="L522" s="8">
        <v>0</v>
      </c>
      <c r="M522" s="24">
        <f t="shared" si="69"/>
        <v>20000</v>
      </c>
      <c r="N522" s="24">
        <v>0</v>
      </c>
      <c r="O522" s="240">
        <f t="shared" si="71"/>
        <v>0.0006223789676736987</v>
      </c>
    </row>
    <row r="523" spans="1:15" ht="14.25" customHeight="1">
      <c r="A523" s="23"/>
      <c r="B523" s="23" t="s">
        <v>299</v>
      </c>
      <c r="C523" s="29" t="s">
        <v>300</v>
      </c>
      <c r="D523" s="8"/>
      <c r="E523" s="8">
        <v>1400</v>
      </c>
      <c r="F523" s="8">
        <v>0</v>
      </c>
      <c r="G523" s="8">
        <v>0</v>
      </c>
      <c r="H523" s="8">
        <v>2000</v>
      </c>
      <c r="I523" s="8">
        <v>0</v>
      </c>
      <c r="J523" s="8">
        <v>0</v>
      </c>
      <c r="K523" s="8">
        <v>2000</v>
      </c>
      <c r="L523" s="8">
        <v>0</v>
      </c>
      <c r="M523" s="24">
        <f t="shared" si="69"/>
        <v>2000</v>
      </c>
      <c r="N523" s="24">
        <v>0</v>
      </c>
      <c r="O523" s="240">
        <f t="shared" si="71"/>
        <v>6.223789676736987E-05</v>
      </c>
    </row>
    <row r="524" spans="1:15" ht="14.25" customHeight="1">
      <c r="A524" s="23"/>
      <c r="B524" s="23" t="s">
        <v>303</v>
      </c>
      <c r="C524" s="29" t="s">
        <v>304</v>
      </c>
      <c r="D524" s="8"/>
      <c r="E524" s="8"/>
      <c r="F524" s="8"/>
      <c r="G524" s="8"/>
      <c r="H524" s="8">
        <v>12853</v>
      </c>
      <c r="I524" s="8">
        <v>0</v>
      </c>
      <c r="J524" s="8">
        <v>0</v>
      </c>
      <c r="K524" s="8">
        <v>15805</v>
      </c>
      <c r="L524" s="8">
        <v>0</v>
      </c>
      <c r="M524" s="24">
        <f t="shared" si="69"/>
        <v>15805</v>
      </c>
      <c r="N524" s="24">
        <v>0</v>
      </c>
      <c r="O524" s="240">
        <f t="shared" si="71"/>
        <v>0.0004918349792041403</v>
      </c>
    </row>
    <row r="525" spans="1:58" ht="18" customHeight="1">
      <c r="A525" s="23"/>
      <c r="B525" s="23" t="s">
        <v>323</v>
      </c>
      <c r="C525" s="29" t="s">
        <v>176</v>
      </c>
      <c r="D525" s="8"/>
      <c r="E525" s="8"/>
      <c r="F525" s="8"/>
      <c r="G525" s="8"/>
      <c r="H525" s="8"/>
      <c r="I525" s="8"/>
      <c r="J525" s="8"/>
      <c r="K525" s="8">
        <v>25000</v>
      </c>
      <c r="L525" s="8">
        <v>0</v>
      </c>
      <c r="M525" s="24">
        <f>K525</f>
        <v>25000</v>
      </c>
      <c r="N525" s="24">
        <v>0</v>
      </c>
      <c r="O525" s="240">
        <f t="shared" si="71"/>
        <v>0.0007779737095921233</v>
      </c>
      <c r="P525" s="301"/>
      <c r="Q525" s="301"/>
      <c r="R525" s="301"/>
      <c r="S525" s="301"/>
      <c r="T525" s="301"/>
      <c r="U525" s="301"/>
      <c r="V525" s="301"/>
      <c r="W525" s="301"/>
      <c r="X525" s="301"/>
      <c r="Y525" s="301"/>
      <c r="Z525" s="301"/>
      <c r="AA525" s="301"/>
      <c r="AB525" s="301"/>
      <c r="AC525" s="301"/>
      <c r="AD525" s="301"/>
      <c r="AE525" s="301"/>
      <c r="AF525" s="301"/>
      <c r="AG525" s="301"/>
      <c r="AH525" s="301"/>
      <c r="AI525" s="301"/>
      <c r="AJ525" s="301"/>
      <c r="AK525" s="301"/>
      <c r="AL525" s="301"/>
      <c r="AM525" s="301"/>
      <c r="AN525" s="301"/>
      <c r="AO525" s="301"/>
      <c r="AP525" s="301"/>
      <c r="AQ525" s="301"/>
      <c r="AR525" s="301"/>
      <c r="AS525" s="301"/>
      <c r="AT525" s="301"/>
      <c r="AU525" s="301"/>
      <c r="AV525" s="301"/>
      <c r="AW525" s="301"/>
      <c r="AX525" s="301"/>
      <c r="AY525" s="301"/>
      <c r="AZ525" s="301"/>
      <c r="BA525" s="301"/>
      <c r="BB525" s="301"/>
      <c r="BC525" s="301"/>
      <c r="BD525" s="301"/>
      <c r="BE525" s="301"/>
      <c r="BF525" s="301"/>
    </row>
    <row r="526" spans="1:58" s="295" customFormat="1" ht="18" customHeight="1">
      <c r="A526" s="294" t="s">
        <v>514</v>
      </c>
      <c r="B526" s="294"/>
      <c r="C526" s="296" t="s">
        <v>515</v>
      </c>
      <c r="D526" s="288" t="e">
        <f>D527+D540+D555+D571+D589</f>
        <v>#REF!</v>
      </c>
      <c r="E526" s="288" t="e">
        <f>E527+E540+E555+E571+E589+E577+E597</f>
        <v>#REF!</v>
      </c>
      <c r="F526" s="288" t="e">
        <f>F527+F540+F555+F589+F577+F597</f>
        <v>#REF!</v>
      </c>
      <c r="G526" s="288" t="e">
        <f>G527+G540+G555+G589+G577+G597</f>
        <v>#REF!</v>
      </c>
      <c r="H526" s="288" t="e">
        <f>H527+#REF!+H540+H555+H589+H597+H581</f>
        <v>#REF!</v>
      </c>
      <c r="I526" s="288" t="e">
        <f>I527+#REF!+I540+I555+I589+I597+I581</f>
        <v>#REF!</v>
      </c>
      <c r="J526" s="288" t="e">
        <f>J527+#REF!+J540+J555+J589+J597+J581</f>
        <v>#REF!</v>
      </c>
      <c r="K526" s="288">
        <f>K527+K540+K555+K589+K597+K581</f>
        <v>3474765</v>
      </c>
      <c r="L526" s="288">
        <f>L527+L540+L555+L589+L597+L581</f>
        <v>0</v>
      </c>
      <c r="M526" s="288">
        <f>M527+M540+M555+M589+M597+M581</f>
        <v>3473265</v>
      </c>
      <c r="N526" s="288">
        <f>N527+N540+N555+N589+N597+N581</f>
        <v>1500</v>
      </c>
      <c r="O526" s="285">
        <f t="shared" si="71"/>
        <v>0.10813103268043497</v>
      </c>
      <c r="P526" s="300"/>
      <c r="Q526" s="300"/>
      <c r="R526" s="300"/>
      <c r="S526" s="300"/>
      <c r="T526" s="300"/>
      <c r="U526" s="300"/>
      <c r="V526" s="300"/>
      <c r="W526" s="300"/>
      <c r="X526" s="300"/>
      <c r="Y526" s="300"/>
      <c r="Z526" s="300"/>
      <c r="AA526" s="300"/>
      <c r="AB526" s="300"/>
      <c r="AC526" s="300"/>
      <c r="AD526" s="300"/>
      <c r="AE526" s="300"/>
      <c r="AF526" s="300"/>
      <c r="AG526" s="300"/>
      <c r="AH526" s="300"/>
      <c r="AI526" s="300"/>
      <c r="AJ526" s="300"/>
      <c r="AK526" s="300"/>
      <c r="AL526" s="300"/>
      <c r="AM526" s="300"/>
      <c r="AN526" s="300"/>
      <c r="AO526" s="300"/>
      <c r="AP526" s="300"/>
      <c r="AQ526" s="300"/>
      <c r="AR526" s="300"/>
      <c r="AS526" s="300"/>
      <c r="AT526" s="300"/>
      <c r="AU526" s="300"/>
      <c r="AV526" s="300"/>
      <c r="AW526" s="300"/>
      <c r="AX526" s="300"/>
      <c r="AY526" s="300"/>
      <c r="AZ526" s="300"/>
      <c r="BA526" s="300"/>
      <c r="BB526" s="300"/>
      <c r="BC526" s="300"/>
      <c r="BD526" s="300"/>
      <c r="BE526" s="300"/>
      <c r="BF526" s="300"/>
    </row>
    <row r="527" spans="1:58" ht="18.75" customHeight="1">
      <c r="A527" s="26" t="s">
        <v>516</v>
      </c>
      <c r="B527" s="23"/>
      <c r="C527" s="461" t="s">
        <v>517</v>
      </c>
      <c r="D527" s="7" t="e">
        <f>D529+D530+D531+#REF!</f>
        <v>#REF!</v>
      </c>
      <c r="E527" s="7" t="e">
        <f>E529+E530+E531+E532+E528+E533+E534+E535+#REF!+E536+E537+#REF!+E539+#REF!</f>
        <v>#REF!</v>
      </c>
      <c r="F527" s="7" t="e">
        <f>F529+F530+F531+F532+F528+F533+F534+F535+#REF!+F536+F537+#REF!+F539+#REF!</f>
        <v>#REF!</v>
      </c>
      <c r="G527" s="7" t="e">
        <f>G529+G530+G531+G532+G528+G533+G534+G535+#REF!+G536+G537+#REF!+G539+#REF!</f>
        <v>#REF!</v>
      </c>
      <c r="H527" s="7" t="e">
        <f>H529+H530+H531+H532+H533+H534+H535+#REF!+H536+H537+#REF!+H539+#REF!+#REF!</f>
        <v>#REF!</v>
      </c>
      <c r="I527" s="7" t="e">
        <f>I529+I530+I531+I532+I533+I534+I535+#REF!+I536+I537+#REF!+I539+#REF!+#REF!</f>
        <v>#REF!</v>
      </c>
      <c r="J527" s="7" t="e">
        <f>J529+J530+J531+J532+J533+J534+J535+#REF!+J536+J537+#REF!+J539+#REF!+#REF!</f>
        <v>#REF!</v>
      </c>
      <c r="K527" s="7">
        <f>SUM(K528:K539)</f>
        <v>1110425</v>
      </c>
      <c r="L527" s="7">
        <f>SUM(L528:L539)</f>
        <v>0</v>
      </c>
      <c r="M527" s="7">
        <f>SUM(M528:M539)</f>
        <v>1110425</v>
      </c>
      <c r="N527" s="7">
        <f>SUM(N528:N539)</f>
        <v>0</v>
      </c>
      <c r="O527" s="240">
        <f t="shared" si="71"/>
        <v>0.03455525825895334</v>
      </c>
      <c r="P527" s="301"/>
      <c r="Q527" s="301"/>
      <c r="R527" s="301"/>
      <c r="S527" s="301"/>
      <c r="T527" s="301"/>
      <c r="U527" s="301"/>
      <c r="V527" s="301"/>
      <c r="W527" s="301"/>
      <c r="X527" s="301"/>
      <c r="Y527" s="301"/>
      <c r="Z527" s="301"/>
      <c r="AA527" s="301"/>
      <c r="AB527" s="301"/>
      <c r="AC527" s="301"/>
      <c r="AD527" s="301"/>
      <c r="AE527" s="301"/>
      <c r="AF527" s="301"/>
      <c r="AG527" s="301"/>
      <c r="AH527" s="301"/>
      <c r="AI527" s="301"/>
      <c r="AJ527" s="301"/>
      <c r="AK527" s="301"/>
      <c r="AL527" s="301"/>
      <c r="AM527" s="301"/>
      <c r="AN527" s="301"/>
      <c r="AO527" s="301"/>
      <c r="AP527" s="301"/>
      <c r="AQ527" s="301"/>
      <c r="AR527" s="301"/>
      <c r="AS527" s="301"/>
      <c r="AT527" s="301"/>
      <c r="AU527" s="301"/>
      <c r="AV527" s="301"/>
      <c r="AW527" s="301"/>
      <c r="AX527" s="301"/>
      <c r="AY527" s="301"/>
      <c r="AZ527" s="301"/>
      <c r="BA527" s="301"/>
      <c r="BB527" s="301"/>
      <c r="BC527" s="301"/>
      <c r="BD527" s="301"/>
      <c r="BE527" s="301"/>
      <c r="BF527" s="301"/>
    </row>
    <row r="528" spans="1:15" ht="16.5" customHeight="1">
      <c r="A528" s="23"/>
      <c r="B528" s="36" t="s">
        <v>269</v>
      </c>
      <c r="C528" s="29" t="s">
        <v>431</v>
      </c>
      <c r="D528" s="8"/>
      <c r="E528" s="8">
        <v>32821</v>
      </c>
      <c r="F528" s="8">
        <v>0</v>
      </c>
      <c r="G528" s="8">
        <v>0</v>
      </c>
      <c r="H528" s="7"/>
      <c r="I528" s="7"/>
      <c r="J528" s="7"/>
      <c r="K528" s="8">
        <v>0</v>
      </c>
      <c r="L528" s="8">
        <v>0</v>
      </c>
      <c r="M528" s="24">
        <f>K528</f>
        <v>0</v>
      </c>
      <c r="N528" s="24">
        <v>0</v>
      </c>
      <c r="O528" s="240">
        <f t="shared" si="71"/>
        <v>0</v>
      </c>
    </row>
    <row r="529" spans="1:15" ht="15.75" customHeight="1">
      <c r="A529" s="23"/>
      <c r="B529" s="23" t="s">
        <v>281</v>
      </c>
      <c r="C529" s="29" t="s">
        <v>282</v>
      </c>
      <c r="D529" s="8">
        <v>1270889</v>
      </c>
      <c r="E529" s="8">
        <v>1044649</v>
      </c>
      <c r="F529" s="8">
        <v>19143</v>
      </c>
      <c r="G529" s="8">
        <v>45000</v>
      </c>
      <c r="H529" s="8">
        <v>562350</v>
      </c>
      <c r="I529" s="8">
        <v>0</v>
      </c>
      <c r="J529" s="8">
        <v>0</v>
      </c>
      <c r="K529" s="8">
        <v>658167</v>
      </c>
      <c r="L529" s="8">
        <v>0</v>
      </c>
      <c r="M529" s="24">
        <f>K529</f>
        <v>658167</v>
      </c>
      <c r="N529" s="24">
        <v>0</v>
      </c>
      <c r="O529" s="240">
        <f t="shared" si="71"/>
        <v>0.02048146490084476</v>
      </c>
    </row>
    <row r="530" spans="1:15" ht="14.25" customHeight="1">
      <c r="A530" s="23"/>
      <c r="B530" s="23" t="s">
        <v>285</v>
      </c>
      <c r="C530" s="29" t="s">
        <v>286</v>
      </c>
      <c r="D530" s="8">
        <v>95035</v>
      </c>
      <c r="E530" s="8">
        <v>92025</v>
      </c>
      <c r="F530" s="8">
        <v>0</v>
      </c>
      <c r="G530" s="8">
        <v>0</v>
      </c>
      <c r="H530" s="8">
        <v>46308</v>
      </c>
      <c r="I530" s="8">
        <v>0</v>
      </c>
      <c r="J530" s="8">
        <v>0</v>
      </c>
      <c r="K530" s="8">
        <v>51540</v>
      </c>
      <c r="L530" s="8">
        <v>0</v>
      </c>
      <c r="M530" s="24">
        <f aca="true" t="shared" si="72" ref="M530:M539">K530</f>
        <v>51540</v>
      </c>
      <c r="N530" s="24">
        <v>0</v>
      </c>
      <c r="O530" s="240">
        <f t="shared" si="71"/>
        <v>0.0016038705996951213</v>
      </c>
    </row>
    <row r="531" spans="1:15" ht="13.5" customHeight="1">
      <c r="A531" s="23"/>
      <c r="B531" s="36" t="s">
        <v>314</v>
      </c>
      <c r="C531" s="29" t="s">
        <v>355</v>
      </c>
      <c r="D531" s="8">
        <v>274033</v>
      </c>
      <c r="E531" s="8">
        <v>199495</v>
      </c>
      <c r="F531" s="8">
        <v>2349</v>
      </c>
      <c r="G531" s="8">
        <v>8046</v>
      </c>
      <c r="H531" s="8">
        <v>107000</v>
      </c>
      <c r="I531" s="8">
        <v>0</v>
      </c>
      <c r="J531" s="8">
        <v>0</v>
      </c>
      <c r="K531" s="8">
        <v>127600</v>
      </c>
      <c r="L531" s="8">
        <v>0</v>
      </c>
      <c r="M531" s="24">
        <f t="shared" si="72"/>
        <v>127600</v>
      </c>
      <c r="N531" s="24">
        <v>0</v>
      </c>
      <c r="O531" s="240">
        <f t="shared" si="71"/>
        <v>0.003970777813758197</v>
      </c>
    </row>
    <row r="532" spans="1:15" ht="14.25" customHeight="1">
      <c r="A532" s="23"/>
      <c r="B532" s="36" t="s">
        <v>289</v>
      </c>
      <c r="C532" s="29" t="s">
        <v>290</v>
      </c>
      <c r="D532" s="8"/>
      <c r="E532" s="8">
        <v>27615</v>
      </c>
      <c r="F532" s="8">
        <v>321</v>
      </c>
      <c r="G532" s="8">
        <v>1102</v>
      </c>
      <c r="H532" s="8">
        <v>14660</v>
      </c>
      <c r="I532" s="8">
        <v>0</v>
      </c>
      <c r="J532" s="8">
        <v>0</v>
      </c>
      <c r="K532" s="8">
        <v>17000</v>
      </c>
      <c r="L532" s="8">
        <v>0</v>
      </c>
      <c r="M532" s="24">
        <f t="shared" si="72"/>
        <v>17000</v>
      </c>
      <c r="N532" s="24">
        <v>0</v>
      </c>
      <c r="O532" s="240">
        <f t="shared" si="71"/>
        <v>0.0005290221225226438</v>
      </c>
    </row>
    <row r="533" spans="1:15" ht="14.25" customHeight="1">
      <c r="A533" s="23"/>
      <c r="B533" s="36" t="s">
        <v>291</v>
      </c>
      <c r="C533" s="29" t="s">
        <v>428</v>
      </c>
      <c r="D533" s="8"/>
      <c r="E533" s="8">
        <v>123652</v>
      </c>
      <c r="F533" s="8">
        <v>12612</v>
      </c>
      <c r="G533" s="8">
        <v>0</v>
      </c>
      <c r="H533" s="8">
        <v>114868</v>
      </c>
      <c r="I533" s="8">
        <v>0</v>
      </c>
      <c r="J533" s="8">
        <v>0</v>
      </c>
      <c r="K533" s="8">
        <v>94900</v>
      </c>
      <c r="L533" s="8">
        <v>0</v>
      </c>
      <c r="M533" s="24">
        <f t="shared" si="72"/>
        <v>94900</v>
      </c>
      <c r="N533" s="24">
        <v>0</v>
      </c>
      <c r="O533" s="240">
        <f t="shared" si="71"/>
        <v>0.0029531882016117002</v>
      </c>
    </row>
    <row r="534" spans="1:15" ht="15" customHeight="1">
      <c r="A534" s="23"/>
      <c r="B534" s="36" t="s">
        <v>379</v>
      </c>
      <c r="C534" s="29" t="s">
        <v>495</v>
      </c>
      <c r="D534" s="8"/>
      <c r="E534" s="8">
        <v>145078</v>
      </c>
      <c r="F534" s="8">
        <v>0</v>
      </c>
      <c r="G534" s="8">
        <v>20000</v>
      </c>
      <c r="H534" s="8">
        <v>57000</v>
      </c>
      <c r="I534" s="8">
        <v>0</v>
      </c>
      <c r="J534" s="8">
        <v>0</v>
      </c>
      <c r="K534" s="8">
        <v>65000</v>
      </c>
      <c r="L534" s="8">
        <v>0</v>
      </c>
      <c r="M534" s="24">
        <f t="shared" si="72"/>
        <v>65000</v>
      </c>
      <c r="N534" s="24">
        <v>0</v>
      </c>
      <c r="O534" s="240">
        <f t="shared" si="71"/>
        <v>0.0020227316449395205</v>
      </c>
    </row>
    <row r="535" spans="1:15" ht="14.25" customHeight="1">
      <c r="A535" s="23"/>
      <c r="B535" s="36" t="s">
        <v>293</v>
      </c>
      <c r="C535" s="29" t="s">
        <v>383</v>
      </c>
      <c r="D535" s="8"/>
      <c r="E535" s="8">
        <v>21328</v>
      </c>
      <c r="F535" s="8">
        <v>3000</v>
      </c>
      <c r="G535" s="8">
        <v>0</v>
      </c>
      <c r="H535" s="8">
        <v>17200</v>
      </c>
      <c r="I535" s="8">
        <v>0</v>
      </c>
      <c r="J535" s="8">
        <v>0</v>
      </c>
      <c r="K535" s="8">
        <v>17500</v>
      </c>
      <c r="L535" s="8">
        <v>0</v>
      </c>
      <c r="M535" s="24">
        <f t="shared" si="72"/>
        <v>17500</v>
      </c>
      <c r="N535" s="24">
        <v>0</v>
      </c>
      <c r="O535" s="240">
        <f t="shared" si="71"/>
        <v>0.0005445815967144863</v>
      </c>
    </row>
    <row r="536" spans="1:15" ht="15" customHeight="1">
      <c r="A536" s="23"/>
      <c r="B536" s="36" t="s">
        <v>297</v>
      </c>
      <c r="C536" s="29" t="s">
        <v>385</v>
      </c>
      <c r="D536" s="8"/>
      <c r="E536" s="8">
        <v>22737</v>
      </c>
      <c r="F536" s="8">
        <v>4000</v>
      </c>
      <c r="G536" s="8">
        <v>0</v>
      </c>
      <c r="H536" s="8">
        <v>27250</v>
      </c>
      <c r="I536" s="8">
        <v>0</v>
      </c>
      <c r="J536" s="8">
        <v>0</v>
      </c>
      <c r="K536" s="8">
        <v>39200</v>
      </c>
      <c r="L536" s="8">
        <v>0</v>
      </c>
      <c r="M536" s="24">
        <f t="shared" si="72"/>
        <v>39200</v>
      </c>
      <c r="N536" s="24">
        <v>0</v>
      </c>
      <c r="O536" s="240">
        <f t="shared" si="71"/>
        <v>0.0012198627766404494</v>
      </c>
    </row>
    <row r="537" spans="1:15" ht="14.25" customHeight="1">
      <c r="A537" s="23"/>
      <c r="B537" s="36" t="s">
        <v>299</v>
      </c>
      <c r="C537" s="29" t="s">
        <v>300</v>
      </c>
      <c r="D537" s="8"/>
      <c r="E537" s="8">
        <v>2384</v>
      </c>
      <c r="F537" s="8">
        <v>0</v>
      </c>
      <c r="G537" s="8">
        <v>800</v>
      </c>
      <c r="H537" s="8">
        <v>300</v>
      </c>
      <c r="I537" s="8">
        <v>0</v>
      </c>
      <c r="J537" s="8">
        <v>0</v>
      </c>
      <c r="K537" s="8">
        <v>3000</v>
      </c>
      <c r="L537" s="8">
        <v>0</v>
      </c>
      <c r="M537" s="24">
        <f t="shared" si="72"/>
        <v>3000</v>
      </c>
      <c r="N537" s="24">
        <v>0</v>
      </c>
      <c r="O537" s="240">
        <f t="shared" si="71"/>
        <v>9.33568451510548E-05</v>
      </c>
    </row>
    <row r="538" spans="1:15" ht="14.25" customHeight="1">
      <c r="A538" s="23"/>
      <c r="B538" s="36" t="s">
        <v>301</v>
      </c>
      <c r="C538" s="29" t="s">
        <v>302</v>
      </c>
      <c r="D538" s="8"/>
      <c r="E538" s="8"/>
      <c r="F538" s="8"/>
      <c r="G538" s="8"/>
      <c r="H538" s="8"/>
      <c r="I538" s="8"/>
      <c r="J538" s="8"/>
      <c r="K538" s="8">
        <v>1200</v>
      </c>
      <c r="L538" s="8">
        <v>0</v>
      </c>
      <c r="M538" s="24">
        <f t="shared" si="72"/>
        <v>1200</v>
      </c>
      <c r="N538" s="24">
        <v>0</v>
      </c>
      <c r="O538" s="240">
        <f t="shared" si="71"/>
        <v>3.734273806042192E-05</v>
      </c>
    </row>
    <row r="539" spans="1:15" ht="14.25" customHeight="1">
      <c r="A539" s="23"/>
      <c r="B539" s="36" t="s">
        <v>303</v>
      </c>
      <c r="C539" s="29" t="s">
        <v>304</v>
      </c>
      <c r="D539" s="8"/>
      <c r="E539" s="8">
        <v>79227</v>
      </c>
      <c r="F539" s="8">
        <v>0</v>
      </c>
      <c r="G539" s="8">
        <v>0</v>
      </c>
      <c r="H539" s="8">
        <v>31503</v>
      </c>
      <c r="I539" s="8">
        <v>0</v>
      </c>
      <c r="J539" s="8">
        <v>0</v>
      </c>
      <c r="K539" s="8">
        <v>35318</v>
      </c>
      <c r="L539" s="8">
        <v>0</v>
      </c>
      <c r="M539" s="24">
        <f t="shared" si="72"/>
        <v>35318</v>
      </c>
      <c r="N539" s="24">
        <v>0</v>
      </c>
      <c r="O539" s="240">
        <f t="shared" si="71"/>
        <v>0.0010990590190149844</v>
      </c>
    </row>
    <row r="540" spans="1:15" ht="15.75" customHeight="1">
      <c r="A540" s="26" t="s">
        <v>519</v>
      </c>
      <c r="B540" s="23"/>
      <c r="C540" s="4" t="s">
        <v>520</v>
      </c>
      <c r="D540" s="7" t="e">
        <f>D542+D543+D544+#REF!</f>
        <v>#REF!</v>
      </c>
      <c r="E540" s="7" t="e">
        <f>E542+E543+E544+E545+E541+E547+E548+E549+#REF!+E550+E552+#REF!+E553</f>
        <v>#REF!</v>
      </c>
      <c r="F540" s="7" t="e">
        <f>F542+F543+F544+F545+F541+F547+F548+F549+#REF!+F550+F552+#REF!+F553</f>
        <v>#REF!</v>
      </c>
      <c r="G540" s="7" t="e">
        <f>G542+G543+G544+G545+G541+G547+G548+G549+#REF!+G550+G552+#REF!+G553</f>
        <v>#REF!</v>
      </c>
      <c r="H540" s="7" t="e">
        <f>H542+H543+H544+H545+H541+H547+H548+H549+H550+H552+#REF!+H553+H554</f>
        <v>#REF!</v>
      </c>
      <c r="I540" s="7" t="e">
        <f>I542+I543+I544+I545+I541+I547+I548+I549+I550+I552+#REF!+I553+I554</f>
        <v>#REF!</v>
      </c>
      <c r="J540" s="7" t="e">
        <f>J542+J543+J544+J545+J541+J547+J548+J549+J550+J552+#REF!+J553+J554</f>
        <v>#REF!</v>
      </c>
      <c r="K540" s="7">
        <f>SUM(K541:K554)</f>
        <v>416000</v>
      </c>
      <c r="L540" s="7">
        <f>SUM(L541:L554)</f>
        <v>0</v>
      </c>
      <c r="M540" s="7">
        <f>SUM(M541:M554)</f>
        <v>416000</v>
      </c>
      <c r="N540" s="7">
        <f>SUM(N541:N554)</f>
        <v>0</v>
      </c>
      <c r="O540" s="240">
        <f t="shared" si="71"/>
        <v>0.012945482527612932</v>
      </c>
    </row>
    <row r="541" spans="1:15" ht="14.25" customHeight="1">
      <c r="A541" s="23"/>
      <c r="B541" s="36" t="s">
        <v>269</v>
      </c>
      <c r="C541" s="29" t="s">
        <v>431</v>
      </c>
      <c r="D541" s="8"/>
      <c r="E541" s="8">
        <v>4293</v>
      </c>
      <c r="F541" s="8">
        <v>0</v>
      </c>
      <c r="G541" s="8">
        <v>0</v>
      </c>
      <c r="H541" s="8">
        <v>3580</v>
      </c>
      <c r="I541" s="8">
        <v>0</v>
      </c>
      <c r="J541" s="8">
        <v>0</v>
      </c>
      <c r="K541" s="8">
        <v>0</v>
      </c>
      <c r="L541" s="8">
        <v>0</v>
      </c>
      <c r="M541" s="24">
        <f>K541</f>
        <v>0</v>
      </c>
      <c r="N541" s="24">
        <v>0</v>
      </c>
      <c r="O541" s="240">
        <f t="shared" si="71"/>
        <v>0</v>
      </c>
    </row>
    <row r="542" spans="1:15" ht="14.25" customHeight="1">
      <c r="A542" s="23"/>
      <c r="B542" s="23" t="s">
        <v>281</v>
      </c>
      <c r="C542" s="29" t="s">
        <v>177</v>
      </c>
      <c r="D542" s="8">
        <v>338872</v>
      </c>
      <c r="E542" s="8">
        <v>347249</v>
      </c>
      <c r="F542" s="8">
        <v>4011</v>
      </c>
      <c r="G542" s="8">
        <v>5633</v>
      </c>
      <c r="H542" s="20">
        <v>240145</v>
      </c>
      <c r="I542" s="20">
        <v>0</v>
      </c>
      <c r="J542" s="20">
        <v>0</v>
      </c>
      <c r="K542" s="8">
        <v>283987</v>
      </c>
      <c r="L542" s="8">
        <v>0</v>
      </c>
      <c r="M542" s="24">
        <f>K542</f>
        <v>283987</v>
      </c>
      <c r="N542" s="24">
        <v>0</v>
      </c>
      <c r="O542" s="240">
        <f t="shared" si="71"/>
        <v>0.008837376794637534</v>
      </c>
    </row>
    <row r="543" spans="1:15" ht="16.5" customHeight="1">
      <c r="A543" s="23"/>
      <c r="B543" s="23" t="s">
        <v>285</v>
      </c>
      <c r="C543" s="29" t="s">
        <v>286</v>
      </c>
      <c r="D543" s="8">
        <v>22404</v>
      </c>
      <c r="E543" s="8">
        <v>26837</v>
      </c>
      <c r="F543" s="8">
        <v>0</v>
      </c>
      <c r="G543" s="8">
        <v>0</v>
      </c>
      <c r="H543" s="8">
        <v>17713</v>
      </c>
      <c r="I543" s="8">
        <v>0</v>
      </c>
      <c r="J543" s="8">
        <v>0</v>
      </c>
      <c r="K543" s="8">
        <v>22479</v>
      </c>
      <c r="L543" s="8">
        <v>0</v>
      </c>
      <c r="M543" s="24">
        <f aca="true" t="shared" si="73" ref="M543:M554">K543</f>
        <v>22479</v>
      </c>
      <c r="N543" s="24">
        <v>0</v>
      </c>
      <c r="O543" s="240">
        <f t="shared" si="71"/>
        <v>0.0006995228407168536</v>
      </c>
    </row>
    <row r="544" spans="1:15" ht="15" customHeight="1">
      <c r="A544" s="23"/>
      <c r="B544" s="36" t="s">
        <v>338</v>
      </c>
      <c r="C544" s="29" t="s">
        <v>355</v>
      </c>
      <c r="D544" s="8">
        <v>73812</v>
      </c>
      <c r="E544" s="8">
        <v>65930</v>
      </c>
      <c r="F544" s="8">
        <v>360</v>
      </c>
      <c r="G544" s="8">
        <v>1005</v>
      </c>
      <c r="H544" s="8">
        <v>45324</v>
      </c>
      <c r="I544" s="8">
        <v>0</v>
      </c>
      <c r="J544" s="8">
        <v>0</v>
      </c>
      <c r="K544" s="8">
        <v>52867</v>
      </c>
      <c r="L544" s="8">
        <v>0</v>
      </c>
      <c r="M544" s="24">
        <f t="shared" si="73"/>
        <v>52867</v>
      </c>
      <c r="N544" s="24">
        <v>0</v>
      </c>
      <c r="O544" s="240">
        <f t="shared" si="71"/>
        <v>0.0016451654442002713</v>
      </c>
    </row>
    <row r="545" spans="1:15" ht="14.25" customHeight="1">
      <c r="A545" s="23"/>
      <c r="B545" s="36" t="s">
        <v>289</v>
      </c>
      <c r="C545" s="29" t="s">
        <v>290</v>
      </c>
      <c r="D545" s="8"/>
      <c r="E545" s="8">
        <v>9068</v>
      </c>
      <c r="F545" s="8">
        <v>49</v>
      </c>
      <c r="G545" s="8">
        <v>138</v>
      </c>
      <c r="H545" s="8">
        <v>6263</v>
      </c>
      <c r="I545" s="8">
        <v>0</v>
      </c>
      <c r="J545" s="8">
        <v>0</v>
      </c>
      <c r="K545" s="8">
        <v>7651</v>
      </c>
      <c r="L545" s="8">
        <v>0</v>
      </c>
      <c r="M545" s="24">
        <f t="shared" si="73"/>
        <v>7651</v>
      </c>
      <c r="N545" s="24">
        <v>0</v>
      </c>
      <c r="O545" s="240">
        <f t="shared" si="71"/>
        <v>0.00023809107408357343</v>
      </c>
    </row>
    <row r="546" spans="1:15" ht="14.25" customHeight="1">
      <c r="A546" s="23"/>
      <c r="B546" s="36" t="s">
        <v>37</v>
      </c>
      <c r="C546" s="29" t="s">
        <v>52</v>
      </c>
      <c r="D546" s="8"/>
      <c r="E546" s="8"/>
      <c r="F546" s="8"/>
      <c r="G546" s="8"/>
      <c r="H546" s="8"/>
      <c r="I546" s="8"/>
      <c r="J546" s="8"/>
      <c r="K546" s="8">
        <v>1000</v>
      </c>
      <c r="L546" s="8">
        <v>0</v>
      </c>
      <c r="M546" s="24">
        <f>K546</f>
        <v>1000</v>
      </c>
      <c r="N546" s="24">
        <v>0</v>
      </c>
      <c r="O546" s="240">
        <f t="shared" si="71"/>
        <v>3.1118948383684935E-05</v>
      </c>
    </row>
    <row r="547" spans="1:15" ht="15.75" customHeight="1">
      <c r="A547" s="23"/>
      <c r="B547" s="36" t="s">
        <v>291</v>
      </c>
      <c r="C547" s="29" t="s">
        <v>428</v>
      </c>
      <c r="D547" s="8"/>
      <c r="E547" s="8">
        <v>17339</v>
      </c>
      <c r="F547" s="8">
        <v>5526</v>
      </c>
      <c r="G547" s="8">
        <v>0</v>
      </c>
      <c r="H547" s="8">
        <v>25571</v>
      </c>
      <c r="I547" s="8">
        <v>0</v>
      </c>
      <c r="J547" s="8">
        <v>0</v>
      </c>
      <c r="K547" s="8">
        <v>13010</v>
      </c>
      <c r="L547" s="8">
        <v>0</v>
      </c>
      <c r="M547" s="24">
        <f t="shared" si="73"/>
        <v>13010</v>
      </c>
      <c r="N547" s="24">
        <v>0</v>
      </c>
      <c r="O547" s="240">
        <f t="shared" si="71"/>
        <v>0.00040485751847174097</v>
      </c>
    </row>
    <row r="548" spans="1:15" ht="15" customHeight="1">
      <c r="A548" s="23"/>
      <c r="B548" s="36" t="s">
        <v>420</v>
      </c>
      <c r="C548" s="29" t="s">
        <v>496</v>
      </c>
      <c r="D548" s="8"/>
      <c r="E548" s="8">
        <v>4149</v>
      </c>
      <c r="F548" s="8">
        <v>0</v>
      </c>
      <c r="G548" s="8">
        <v>0</v>
      </c>
      <c r="H548" s="8">
        <v>1500</v>
      </c>
      <c r="I548" s="8">
        <v>0</v>
      </c>
      <c r="J548" s="8">
        <v>0</v>
      </c>
      <c r="K548" s="8">
        <v>2000</v>
      </c>
      <c r="L548" s="8">
        <v>0</v>
      </c>
      <c r="M548" s="24">
        <f t="shared" si="73"/>
        <v>2000</v>
      </c>
      <c r="N548" s="24">
        <v>0</v>
      </c>
      <c r="O548" s="240">
        <f t="shared" si="71"/>
        <v>6.223789676736987E-05</v>
      </c>
    </row>
    <row r="549" spans="1:15" ht="15.75" customHeight="1">
      <c r="A549" s="23"/>
      <c r="B549" s="36" t="s">
        <v>293</v>
      </c>
      <c r="C549" s="29" t="s">
        <v>383</v>
      </c>
      <c r="D549" s="8"/>
      <c r="E549" s="8">
        <v>4365</v>
      </c>
      <c r="F549" s="8">
        <v>350</v>
      </c>
      <c r="G549" s="8">
        <v>0</v>
      </c>
      <c r="H549" s="8">
        <v>3966</v>
      </c>
      <c r="I549" s="8">
        <v>0</v>
      </c>
      <c r="J549" s="8">
        <v>0</v>
      </c>
      <c r="K549" s="8">
        <v>3900</v>
      </c>
      <c r="L549" s="8">
        <v>0</v>
      </c>
      <c r="M549" s="24">
        <f t="shared" si="73"/>
        <v>3900</v>
      </c>
      <c r="N549" s="24">
        <v>0</v>
      </c>
      <c r="O549" s="240">
        <f t="shared" si="71"/>
        <v>0.00012136389869637124</v>
      </c>
    </row>
    <row r="550" spans="1:15" ht="15" customHeight="1">
      <c r="A550" s="23"/>
      <c r="B550" s="36" t="s">
        <v>297</v>
      </c>
      <c r="C550" s="29" t="s">
        <v>385</v>
      </c>
      <c r="D550" s="8"/>
      <c r="E550" s="8">
        <v>6136</v>
      </c>
      <c r="F550" s="8">
        <v>800</v>
      </c>
      <c r="G550" s="8">
        <v>0</v>
      </c>
      <c r="H550" s="8">
        <v>6503</v>
      </c>
      <c r="I550" s="8">
        <v>0</v>
      </c>
      <c r="J550" s="8">
        <v>0</v>
      </c>
      <c r="K550" s="8">
        <v>7000</v>
      </c>
      <c r="L550" s="8">
        <v>0</v>
      </c>
      <c r="M550" s="24">
        <f t="shared" si="73"/>
        <v>7000</v>
      </c>
      <c r="N550" s="24">
        <v>0</v>
      </c>
      <c r="O550" s="240">
        <f t="shared" si="71"/>
        <v>0.00021783263868579454</v>
      </c>
    </row>
    <row r="551" spans="1:15" ht="15" customHeight="1">
      <c r="A551" s="23"/>
      <c r="B551" s="36" t="s">
        <v>53</v>
      </c>
      <c r="C551" s="29" t="s">
        <v>732</v>
      </c>
      <c r="D551" s="8"/>
      <c r="E551" s="8"/>
      <c r="F551" s="8"/>
      <c r="G551" s="8"/>
      <c r="H551" s="8"/>
      <c r="I551" s="8"/>
      <c r="J551" s="8"/>
      <c r="K551" s="8">
        <v>1930</v>
      </c>
      <c r="L551" s="8">
        <v>0</v>
      </c>
      <c r="M551" s="24">
        <f>K551</f>
        <v>1930</v>
      </c>
      <c r="N551" s="24">
        <v>0</v>
      </c>
      <c r="O551" s="240">
        <f aca="true" t="shared" si="74" ref="O551:O582">K551/$K$616</f>
        <v>6.005957038051192E-05</v>
      </c>
    </row>
    <row r="552" spans="1:15" ht="16.5" customHeight="1">
      <c r="A552" s="23"/>
      <c r="B552" s="36" t="s">
        <v>299</v>
      </c>
      <c r="C552" s="29" t="s">
        <v>300</v>
      </c>
      <c r="D552" s="8"/>
      <c r="E552" s="8">
        <v>1250</v>
      </c>
      <c r="F552" s="8">
        <v>100</v>
      </c>
      <c r="G552" s="8">
        <v>0</v>
      </c>
      <c r="H552" s="8">
        <v>2500</v>
      </c>
      <c r="I552" s="8">
        <v>0</v>
      </c>
      <c r="J552" s="8">
        <v>0</v>
      </c>
      <c r="K552" s="8">
        <v>3000</v>
      </c>
      <c r="L552" s="8">
        <v>0</v>
      </c>
      <c r="M552" s="24">
        <f t="shared" si="73"/>
        <v>3000</v>
      </c>
      <c r="N552" s="24">
        <v>0</v>
      </c>
      <c r="O552" s="240">
        <f t="shared" si="74"/>
        <v>9.33568451510548E-05</v>
      </c>
    </row>
    <row r="553" spans="1:15" ht="15.75" customHeight="1">
      <c r="A553" s="23"/>
      <c r="B553" s="23" t="s">
        <v>303</v>
      </c>
      <c r="C553" s="11" t="s">
        <v>304</v>
      </c>
      <c r="D553" s="8"/>
      <c r="E553" s="8">
        <v>21517</v>
      </c>
      <c r="F553" s="8">
        <v>0</v>
      </c>
      <c r="G553" s="8">
        <v>0</v>
      </c>
      <c r="H553" s="8">
        <v>11800</v>
      </c>
      <c r="I553" s="8">
        <v>0</v>
      </c>
      <c r="J553" s="8">
        <v>0</v>
      </c>
      <c r="K553" s="8">
        <v>16560</v>
      </c>
      <c r="L553" s="8">
        <v>0</v>
      </c>
      <c r="M553" s="24">
        <f t="shared" si="73"/>
        <v>16560</v>
      </c>
      <c r="N553" s="24">
        <v>0</v>
      </c>
      <c r="O553" s="240">
        <f t="shared" si="74"/>
        <v>0.0005153297852338224</v>
      </c>
    </row>
    <row r="554" spans="1:15" ht="15" customHeight="1">
      <c r="A554" s="23"/>
      <c r="B554" s="23" t="s">
        <v>319</v>
      </c>
      <c r="C554" s="11" t="s">
        <v>320</v>
      </c>
      <c r="D554" s="8"/>
      <c r="E554" s="8"/>
      <c r="F554" s="8"/>
      <c r="G554" s="8"/>
      <c r="H554" s="8">
        <v>1217</v>
      </c>
      <c r="I554" s="8">
        <v>0</v>
      </c>
      <c r="J554" s="8">
        <v>0</v>
      </c>
      <c r="K554" s="8">
        <v>616</v>
      </c>
      <c r="L554" s="8">
        <v>0</v>
      </c>
      <c r="M554" s="24">
        <f t="shared" si="73"/>
        <v>616</v>
      </c>
      <c r="N554" s="24">
        <v>0</v>
      </c>
      <c r="O554" s="240">
        <f t="shared" si="74"/>
        <v>1.916927220434992E-05</v>
      </c>
    </row>
    <row r="555" spans="1:15" ht="16.5" customHeight="1">
      <c r="A555" s="26" t="s">
        <v>521</v>
      </c>
      <c r="B555" s="26"/>
      <c r="C555" s="4" t="s">
        <v>522</v>
      </c>
      <c r="D555" s="7">
        <f>D557+D558+D559+D569+D570</f>
        <v>1352143</v>
      </c>
      <c r="E555" s="7">
        <f>E557+E558+E559+E560+E556+E562+E563+E564+E565+E566+E567+E569+E568</f>
        <v>1297440</v>
      </c>
      <c r="F555" s="7">
        <f>F557+F558+F559+F560+F556+F562+F563+F564+F565+F566+F567+F569+F568</f>
        <v>12761</v>
      </c>
      <c r="G555" s="7">
        <f>G557+G558+G559+G560+G556+G562+G563+G564+G565+G566+G567+G569+G568</f>
        <v>11333</v>
      </c>
      <c r="H555" s="7" t="e">
        <f>H557+H558+H559+H560+H556+#REF!+H572+H573+H575+H576+H578+#REF!</f>
        <v>#REF!</v>
      </c>
      <c r="I555" s="7" t="e">
        <f>I557+I558+I559+I560+I556+#REF!+I572+I573+I575+I576+I578</f>
        <v>#REF!</v>
      </c>
      <c r="J555" s="7" t="e">
        <f>J557+J558+J559+J560+J556+#REF!+J572+J573+J575+J576+J578</f>
        <v>#REF!</v>
      </c>
      <c r="K555" s="7">
        <f>SUM(K556:K580)</f>
        <v>1580280</v>
      </c>
      <c r="L555" s="7">
        <f>SUM(L556:L580)</f>
        <v>0</v>
      </c>
      <c r="M555" s="7">
        <f>SUM(M556:M580)</f>
        <v>1580280</v>
      </c>
      <c r="N555" s="7">
        <f>SUM(N556:N580)</f>
        <v>0</v>
      </c>
      <c r="O555" s="240">
        <f t="shared" si="74"/>
        <v>0.04917665175176963</v>
      </c>
    </row>
    <row r="556" spans="1:15" ht="14.25" customHeight="1">
      <c r="A556" s="23"/>
      <c r="B556" s="36" t="s">
        <v>269</v>
      </c>
      <c r="C556" s="11" t="s">
        <v>431</v>
      </c>
      <c r="D556" s="8"/>
      <c r="E556" s="8">
        <v>1600</v>
      </c>
      <c r="F556" s="8">
        <v>0</v>
      </c>
      <c r="G556" s="8">
        <v>140</v>
      </c>
      <c r="H556" s="20">
        <v>2734</v>
      </c>
      <c r="I556" s="20">
        <v>0</v>
      </c>
      <c r="J556" s="20">
        <v>0</v>
      </c>
      <c r="K556" s="8">
        <v>0</v>
      </c>
      <c r="L556" s="8">
        <v>0</v>
      </c>
      <c r="M556" s="24">
        <f>K556</f>
        <v>0</v>
      </c>
      <c r="N556" s="24">
        <v>0</v>
      </c>
      <c r="O556" s="240">
        <f t="shared" si="74"/>
        <v>0</v>
      </c>
    </row>
    <row r="557" spans="1:15" ht="14.25" customHeight="1">
      <c r="A557" s="23"/>
      <c r="B557" s="23" t="s">
        <v>281</v>
      </c>
      <c r="C557" s="11" t="s">
        <v>282</v>
      </c>
      <c r="D557" s="8">
        <v>760149</v>
      </c>
      <c r="E557" s="8">
        <v>761652</v>
      </c>
      <c r="F557" s="8">
        <v>1187</v>
      </c>
      <c r="G557" s="8">
        <v>0</v>
      </c>
      <c r="H557" s="8">
        <v>374354</v>
      </c>
      <c r="I557" s="8">
        <v>0</v>
      </c>
      <c r="J557" s="8">
        <v>0</v>
      </c>
      <c r="K557" s="8">
        <v>463820</v>
      </c>
      <c r="L557" s="8">
        <v>0</v>
      </c>
      <c r="M557" s="24">
        <f>K557</f>
        <v>463820</v>
      </c>
      <c r="N557" s="24">
        <v>0</v>
      </c>
      <c r="O557" s="240">
        <f t="shared" si="74"/>
        <v>0.014433590639320745</v>
      </c>
    </row>
    <row r="558" spans="1:15" ht="14.25" customHeight="1">
      <c r="A558" s="23"/>
      <c r="B558" s="23" t="s">
        <v>285</v>
      </c>
      <c r="C558" s="11" t="s">
        <v>286</v>
      </c>
      <c r="D558" s="8">
        <v>56427</v>
      </c>
      <c r="E558" s="8">
        <v>62354</v>
      </c>
      <c r="F558" s="8">
        <v>0</v>
      </c>
      <c r="G558" s="8">
        <v>0</v>
      </c>
      <c r="H558" s="20">
        <v>32155</v>
      </c>
      <c r="I558" s="20">
        <v>0</v>
      </c>
      <c r="J558" s="20">
        <v>0</v>
      </c>
      <c r="K558" s="8">
        <v>39282</v>
      </c>
      <c r="L558" s="8">
        <v>0</v>
      </c>
      <c r="M558" s="24">
        <f aca="true" t="shared" si="75" ref="M558:M578">K558</f>
        <v>39282</v>
      </c>
      <c r="N558" s="24">
        <v>0</v>
      </c>
      <c r="O558" s="240">
        <f t="shared" si="74"/>
        <v>0.0012224145304079116</v>
      </c>
    </row>
    <row r="559" spans="1:15" ht="14.25" customHeight="1">
      <c r="A559" s="23"/>
      <c r="B559" s="36" t="s">
        <v>338</v>
      </c>
      <c r="C559" s="11" t="s">
        <v>315</v>
      </c>
      <c r="D559" s="8">
        <v>162435</v>
      </c>
      <c r="E559" s="8">
        <v>143919</v>
      </c>
      <c r="F559" s="8">
        <v>212</v>
      </c>
      <c r="G559" s="8">
        <v>0</v>
      </c>
      <c r="H559" s="20">
        <v>69400</v>
      </c>
      <c r="I559" s="20">
        <v>0</v>
      </c>
      <c r="J559" s="20">
        <v>0</v>
      </c>
      <c r="K559" s="8">
        <v>84056</v>
      </c>
      <c r="L559" s="8">
        <v>0</v>
      </c>
      <c r="M559" s="24">
        <f t="shared" si="75"/>
        <v>84056</v>
      </c>
      <c r="N559" s="24">
        <v>0</v>
      </c>
      <c r="O559" s="240">
        <f t="shared" si="74"/>
        <v>0.0026157343253390207</v>
      </c>
    </row>
    <row r="560" spans="1:15" ht="13.5" customHeight="1">
      <c r="A560" s="23"/>
      <c r="B560" s="36" t="s">
        <v>289</v>
      </c>
      <c r="C560" s="11" t="s">
        <v>290</v>
      </c>
      <c r="D560" s="8"/>
      <c r="E560" s="8">
        <v>19637</v>
      </c>
      <c r="F560" s="8">
        <v>29</v>
      </c>
      <c r="G560" s="8">
        <v>0</v>
      </c>
      <c r="H560" s="20">
        <v>9470</v>
      </c>
      <c r="I560" s="20">
        <v>0</v>
      </c>
      <c r="J560" s="20">
        <v>0</v>
      </c>
      <c r="K560" s="8">
        <v>11720</v>
      </c>
      <c r="L560" s="8">
        <v>0</v>
      </c>
      <c r="M560" s="24">
        <f t="shared" si="75"/>
        <v>11720</v>
      </c>
      <c r="N560" s="24">
        <v>0</v>
      </c>
      <c r="O560" s="240">
        <f t="shared" si="74"/>
        <v>0.0003647140750567874</v>
      </c>
    </row>
    <row r="561" spans="1:15" ht="13.5" customHeight="1">
      <c r="A561" s="23"/>
      <c r="B561" s="36" t="s">
        <v>37</v>
      </c>
      <c r="C561" s="11" t="s">
        <v>52</v>
      </c>
      <c r="D561" s="8"/>
      <c r="E561" s="8"/>
      <c r="F561" s="8"/>
      <c r="G561" s="8"/>
      <c r="H561" s="20"/>
      <c r="I561" s="20"/>
      <c r="J561" s="20"/>
      <c r="K561" s="8">
        <v>5000</v>
      </c>
      <c r="L561" s="8">
        <v>0</v>
      </c>
      <c r="M561" s="24">
        <f>K561</f>
        <v>5000</v>
      </c>
      <c r="N561" s="24">
        <v>0</v>
      </c>
      <c r="O561" s="240">
        <f t="shared" si="74"/>
        <v>0.00015559474191842467</v>
      </c>
    </row>
    <row r="562" spans="1:15" ht="18" customHeight="1" hidden="1">
      <c r="A562" s="23"/>
      <c r="B562" s="36" t="s">
        <v>269</v>
      </c>
      <c r="C562" s="11" t="s">
        <v>482</v>
      </c>
      <c r="D562" s="8"/>
      <c r="E562" s="8">
        <v>6404</v>
      </c>
      <c r="F562" s="8">
        <v>0</v>
      </c>
      <c r="G562" s="8">
        <v>357</v>
      </c>
      <c r="H562" s="20"/>
      <c r="I562" s="20"/>
      <c r="J562" s="20"/>
      <c r="K562" s="8"/>
      <c r="L562" s="8">
        <v>0</v>
      </c>
      <c r="M562" s="24">
        <f t="shared" si="75"/>
        <v>0</v>
      </c>
      <c r="N562" s="24">
        <v>0</v>
      </c>
      <c r="O562" s="240">
        <f t="shared" si="74"/>
        <v>0</v>
      </c>
    </row>
    <row r="563" spans="1:15" ht="18.75" customHeight="1" hidden="1">
      <c r="A563" s="23"/>
      <c r="B563" s="36" t="s">
        <v>291</v>
      </c>
      <c r="C563" s="11" t="s">
        <v>428</v>
      </c>
      <c r="D563" s="8"/>
      <c r="E563" s="8">
        <v>142200</v>
      </c>
      <c r="F563" s="8">
        <v>10663</v>
      </c>
      <c r="G563" s="8">
        <v>0</v>
      </c>
      <c r="H563" s="20"/>
      <c r="I563" s="20"/>
      <c r="J563" s="20"/>
      <c r="K563" s="8"/>
      <c r="L563" s="8">
        <v>0</v>
      </c>
      <c r="M563" s="24">
        <f t="shared" si="75"/>
        <v>0</v>
      </c>
      <c r="N563" s="24">
        <v>0</v>
      </c>
      <c r="O563" s="240">
        <f t="shared" si="74"/>
        <v>0</v>
      </c>
    </row>
    <row r="564" spans="1:15" ht="15.75" customHeight="1" hidden="1">
      <c r="A564" s="23"/>
      <c r="B564" s="36" t="s">
        <v>293</v>
      </c>
      <c r="C564" s="11" t="s">
        <v>383</v>
      </c>
      <c r="D564" s="8"/>
      <c r="E564" s="8">
        <v>85706</v>
      </c>
      <c r="F564" s="8">
        <v>0</v>
      </c>
      <c r="G564" s="8">
        <v>4000</v>
      </c>
      <c r="H564" s="20"/>
      <c r="I564" s="20"/>
      <c r="J564" s="20"/>
      <c r="K564" s="8"/>
      <c r="L564" s="8">
        <v>0</v>
      </c>
      <c r="M564" s="24">
        <f t="shared" si="75"/>
        <v>0</v>
      </c>
      <c r="N564" s="24">
        <v>0</v>
      </c>
      <c r="O564" s="240">
        <f t="shared" si="74"/>
        <v>0</v>
      </c>
    </row>
    <row r="565" spans="1:15" ht="15" customHeight="1" hidden="1">
      <c r="A565" s="23"/>
      <c r="B565" s="36" t="s">
        <v>295</v>
      </c>
      <c r="C565" s="11" t="s">
        <v>296</v>
      </c>
      <c r="D565" s="8"/>
      <c r="E565" s="8">
        <v>1000</v>
      </c>
      <c r="F565" s="8">
        <v>0</v>
      </c>
      <c r="G565" s="8">
        <v>1000</v>
      </c>
      <c r="H565" s="20"/>
      <c r="I565" s="20"/>
      <c r="J565" s="20"/>
      <c r="K565" s="8"/>
      <c r="L565" s="8">
        <v>0</v>
      </c>
      <c r="M565" s="24">
        <f t="shared" si="75"/>
        <v>0</v>
      </c>
      <c r="N565" s="24">
        <v>0</v>
      </c>
      <c r="O565" s="240">
        <f t="shared" si="74"/>
        <v>0</v>
      </c>
    </row>
    <row r="566" spans="1:15" ht="14.25" customHeight="1" hidden="1">
      <c r="A566" s="23"/>
      <c r="B566" s="36" t="s">
        <v>297</v>
      </c>
      <c r="C566" s="11" t="s">
        <v>385</v>
      </c>
      <c r="D566" s="8"/>
      <c r="E566" s="8">
        <v>27769</v>
      </c>
      <c r="F566" s="8">
        <v>0</v>
      </c>
      <c r="G566" s="8">
        <v>3670</v>
      </c>
      <c r="H566" s="20"/>
      <c r="I566" s="20"/>
      <c r="J566" s="20"/>
      <c r="K566" s="8"/>
      <c r="L566" s="8">
        <v>0</v>
      </c>
      <c r="M566" s="24">
        <f t="shared" si="75"/>
        <v>0</v>
      </c>
      <c r="N566" s="24">
        <v>0</v>
      </c>
      <c r="O566" s="240">
        <f t="shared" si="74"/>
        <v>0</v>
      </c>
    </row>
    <row r="567" spans="1:15" ht="15" customHeight="1" hidden="1">
      <c r="A567" s="23"/>
      <c r="B567" s="36" t="s">
        <v>299</v>
      </c>
      <c r="C567" s="11" t="s">
        <v>300</v>
      </c>
      <c r="D567" s="8"/>
      <c r="E567" s="8">
        <v>272</v>
      </c>
      <c r="F567" s="8">
        <v>0</v>
      </c>
      <c r="G567" s="8">
        <v>100</v>
      </c>
      <c r="H567" s="20"/>
      <c r="I567" s="20"/>
      <c r="J567" s="20"/>
      <c r="K567" s="8"/>
      <c r="L567" s="8">
        <v>0</v>
      </c>
      <c r="M567" s="24">
        <f t="shared" si="75"/>
        <v>0</v>
      </c>
      <c r="N567" s="24">
        <v>0</v>
      </c>
      <c r="O567" s="240">
        <f t="shared" si="74"/>
        <v>0</v>
      </c>
    </row>
    <row r="568" spans="1:15" ht="12.75" customHeight="1" hidden="1">
      <c r="A568" s="23"/>
      <c r="B568" s="36" t="s">
        <v>301</v>
      </c>
      <c r="C568" s="11" t="s">
        <v>302</v>
      </c>
      <c r="D568" s="8"/>
      <c r="E568" s="8">
        <v>513</v>
      </c>
      <c r="F568" s="8">
        <v>0</v>
      </c>
      <c r="G568" s="8">
        <v>0</v>
      </c>
      <c r="H568" s="20"/>
      <c r="I568" s="20"/>
      <c r="J568" s="20"/>
      <c r="K568" s="8"/>
      <c r="L568" s="8">
        <v>0</v>
      </c>
      <c r="M568" s="24">
        <f t="shared" si="75"/>
        <v>0</v>
      </c>
      <c r="N568" s="24">
        <v>0</v>
      </c>
      <c r="O568" s="240">
        <f t="shared" si="74"/>
        <v>0</v>
      </c>
    </row>
    <row r="569" spans="1:15" ht="12.75" customHeight="1" hidden="1">
      <c r="A569" s="23"/>
      <c r="B569" s="23" t="s">
        <v>303</v>
      </c>
      <c r="C569" s="8" t="s">
        <v>304</v>
      </c>
      <c r="D569" s="8">
        <v>281900</v>
      </c>
      <c r="E569" s="8">
        <v>44414</v>
      </c>
      <c r="F569" s="8">
        <v>670</v>
      </c>
      <c r="G569" s="8">
        <v>2066</v>
      </c>
      <c r="H569" s="20"/>
      <c r="I569" s="20"/>
      <c r="J569" s="20"/>
      <c r="K569" s="8"/>
      <c r="L569" s="8">
        <v>0</v>
      </c>
      <c r="M569" s="24">
        <f t="shared" si="75"/>
        <v>0</v>
      </c>
      <c r="N569" s="24">
        <v>0</v>
      </c>
      <c r="O569" s="240">
        <f t="shared" si="74"/>
        <v>0</v>
      </c>
    </row>
    <row r="570" spans="1:15" ht="14.25" customHeight="1" hidden="1">
      <c r="A570" s="23"/>
      <c r="B570" s="23" t="s">
        <v>323</v>
      </c>
      <c r="C570" s="8" t="s">
        <v>523</v>
      </c>
      <c r="D570" s="8">
        <v>91232</v>
      </c>
      <c r="E570" s="8">
        <v>0</v>
      </c>
      <c r="F570" s="8"/>
      <c r="G570" s="8"/>
      <c r="H570" s="20"/>
      <c r="I570" s="20"/>
      <c r="J570" s="20"/>
      <c r="K570" s="8"/>
      <c r="L570" s="8">
        <v>0</v>
      </c>
      <c r="M570" s="24">
        <f t="shared" si="75"/>
        <v>0</v>
      </c>
      <c r="N570" s="24">
        <v>0</v>
      </c>
      <c r="O570" s="240">
        <f t="shared" si="74"/>
        <v>0</v>
      </c>
    </row>
    <row r="571" spans="1:15" ht="35.25" customHeight="1" hidden="1">
      <c r="A571" s="26" t="s">
        <v>524</v>
      </c>
      <c r="B571" s="26"/>
      <c r="C571" s="4" t="s">
        <v>525</v>
      </c>
      <c r="D571" s="7" t="e">
        <f>#REF!+D572</f>
        <v>#REF!</v>
      </c>
      <c r="E571" s="7" t="e">
        <f>#REF!+E572</f>
        <v>#REF!</v>
      </c>
      <c r="F571" s="7"/>
      <c r="G571" s="7"/>
      <c r="H571" s="20"/>
      <c r="I571" s="20"/>
      <c r="J571" s="20"/>
      <c r="K571" s="8"/>
      <c r="L571" s="8">
        <v>0</v>
      </c>
      <c r="M571" s="24">
        <f t="shared" si="75"/>
        <v>0</v>
      </c>
      <c r="N571" s="24">
        <v>0</v>
      </c>
      <c r="O571" s="240">
        <f t="shared" si="74"/>
        <v>0</v>
      </c>
    </row>
    <row r="572" spans="1:15" ht="13.5" customHeight="1">
      <c r="A572" s="23"/>
      <c r="B572" s="36" t="s">
        <v>291</v>
      </c>
      <c r="C572" s="11" t="s">
        <v>318</v>
      </c>
      <c r="D572" s="8">
        <v>200</v>
      </c>
      <c r="E572" s="8">
        <v>0</v>
      </c>
      <c r="F572" s="8"/>
      <c r="G572" s="8"/>
      <c r="H572" s="20">
        <v>275062</v>
      </c>
      <c r="I572" s="20">
        <v>0</v>
      </c>
      <c r="J572" s="20">
        <v>0</v>
      </c>
      <c r="K572" s="8">
        <v>221266</v>
      </c>
      <c r="L572" s="8">
        <v>0</v>
      </c>
      <c r="M572" s="24">
        <f t="shared" si="75"/>
        <v>221266</v>
      </c>
      <c r="N572" s="24">
        <v>0</v>
      </c>
      <c r="O572" s="240">
        <f t="shared" si="74"/>
        <v>0.00688556523306443</v>
      </c>
    </row>
    <row r="573" spans="1:15" ht="13.5" customHeight="1">
      <c r="A573" s="23"/>
      <c r="B573" s="36" t="s">
        <v>293</v>
      </c>
      <c r="C573" s="11" t="s">
        <v>383</v>
      </c>
      <c r="D573" s="8"/>
      <c r="E573" s="8"/>
      <c r="F573" s="8"/>
      <c r="G573" s="8"/>
      <c r="H573" s="20">
        <v>85600</v>
      </c>
      <c r="I573" s="20">
        <v>0</v>
      </c>
      <c r="J573" s="20">
        <v>0</v>
      </c>
      <c r="K573" s="8">
        <v>74954</v>
      </c>
      <c r="L573" s="8">
        <v>0</v>
      </c>
      <c r="M573" s="24">
        <f t="shared" si="75"/>
        <v>74954</v>
      </c>
      <c r="N573" s="24">
        <v>0</v>
      </c>
      <c r="O573" s="240">
        <f t="shared" si="74"/>
        <v>0.0023324896571507206</v>
      </c>
    </row>
    <row r="574" spans="1:15" ht="13.5" customHeight="1">
      <c r="A574" s="23"/>
      <c r="B574" s="36" t="s">
        <v>362</v>
      </c>
      <c r="C574" s="11" t="s">
        <v>363</v>
      </c>
      <c r="D574" s="8"/>
      <c r="E574" s="8"/>
      <c r="F574" s="8"/>
      <c r="G574" s="8"/>
      <c r="H574" s="20"/>
      <c r="I574" s="20"/>
      <c r="J574" s="20"/>
      <c r="K574" s="8">
        <v>660</v>
      </c>
      <c r="L574" s="8">
        <v>0</v>
      </c>
      <c r="M574" s="24">
        <f t="shared" si="75"/>
        <v>660</v>
      </c>
      <c r="N574" s="24">
        <v>0</v>
      </c>
      <c r="O574" s="240">
        <f t="shared" si="74"/>
        <v>2.0538505933232055E-05</v>
      </c>
    </row>
    <row r="575" spans="1:15" ht="13.5" customHeight="1">
      <c r="A575" s="23"/>
      <c r="B575" s="36" t="s">
        <v>297</v>
      </c>
      <c r="C575" s="11" t="s">
        <v>385</v>
      </c>
      <c r="D575" s="8"/>
      <c r="E575" s="8"/>
      <c r="F575" s="8"/>
      <c r="G575" s="8"/>
      <c r="H575" s="20">
        <v>39410</v>
      </c>
      <c r="I575" s="20">
        <v>0</v>
      </c>
      <c r="J575" s="20">
        <v>0</v>
      </c>
      <c r="K575" s="8">
        <v>34763</v>
      </c>
      <c r="L575" s="8">
        <v>0</v>
      </c>
      <c r="M575" s="24">
        <f t="shared" si="75"/>
        <v>34763</v>
      </c>
      <c r="N575" s="24">
        <v>0</v>
      </c>
      <c r="O575" s="240">
        <f t="shared" si="74"/>
        <v>0.0010817880026620394</v>
      </c>
    </row>
    <row r="576" spans="1:15" ht="13.5" customHeight="1">
      <c r="A576" s="23"/>
      <c r="B576" s="36" t="s">
        <v>303</v>
      </c>
      <c r="C576" s="11" t="s">
        <v>304</v>
      </c>
      <c r="D576" s="8"/>
      <c r="E576" s="8"/>
      <c r="F576" s="8"/>
      <c r="G576" s="8"/>
      <c r="H576" s="20">
        <v>15678</v>
      </c>
      <c r="I576" s="20">
        <v>0</v>
      </c>
      <c r="J576" s="20">
        <v>0</v>
      </c>
      <c r="K576" s="8">
        <v>27159</v>
      </c>
      <c r="L576" s="8">
        <v>0</v>
      </c>
      <c r="M576" s="24">
        <f t="shared" si="75"/>
        <v>27159</v>
      </c>
      <c r="N576" s="24">
        <v>0</v>
      </c>
      <c r="O576" s="240">
        <f t="shared" si="74"/>
        <v>0.000845159519152499</v>
      </c>
    </row>
    <row r="577" spans="1:15" ht="15.75" customHeight="1" hidden="1">
      <c r="A577" s="26" t="s">
        <v>526</v>
      </c>
      <c r="B577" s="38"/>
      <c r="C577" s="4" t="s">
        <v>527</v>
      </c>
      <c r="D577" s="7"/>
      <c r="E577" s="7">
        <f aca="true" t="shared" si="76" ref="E577:N577">E578</f>
        <v>94026</v>
      </c>
      <c r="F577" s="7">
        <f t="shared" si="76"/>
        <v>0</v>
      </c>
      <c r="G577" s="7">
        <f t="shared" si="76"/>
        <v>0</v>
      </c>
      <c r="H577" s="7">
        <v>0</v>
      </c>
      <c r="I577" s="7">
        <v>0</v>
      </c>
      <c r="J577" s="7">
        <v>0</v>
      </c>
      <c r="K577" s="8"/>
      <c r="L577" s="7">
        <f t="shared" si="76"/>
        <v>0</v>
      </c>
      <c r="M577" s="24">
        <f t="shared" si="75"/>
        <v>0</v>
      </c>
      <c r="N577" s="19">
        <f t="shared" si="76"/>
        <v>0</v>
      </c>
      <c r="O577" s="240">
        <f t="shared" si="74"/>
        <v>0</v>
      </c>
    </row>
    <row r="578" spans="1:15" ht="12.75" customHeight="1">
      <c r="A578" s="23"/>
      <c r="B578" s="36" t="s">
        <v>319</v>
      </c>
      <c r="C578" s="11" t="s">
        <v>320</v>
      </c>
      <c r="D578" s="8"/>
      <c r="E578" s="8">
        <v>94026</v>
      </c>
      <c r="F578" s="8">
        <v>0</v>
      </c>
      <c r="G578" s="8">
        <v>0</v>
      </c>
      <c r="H578" s="20">
        <v>4200</v>
      </c>
      <c r="I578" s="20">
        <v>0</v>
      </c>
      <c r="J578" s="20">
        <v>0</v>
      </c>
      <c r="K578" s="8">
        <v>6200</v>
      </c>
      <c r="L578" s="8">
        <v>0</v>
      </c>
      <c r="M578" s="24">
        <f t="shared" si="75"/>
        <v>6200</v>
      </c>
      <c r="N578" s="24">
        <v>0</v>
      </c>
      <c r="O578" s="240">
        <f t="shared" si="74"/>
        <v>0.00019293747997884658</v>
      </c>
    </row>
    <row r="579" spans="1:15" ht="12.75" customHeight="1">
      <c r="A579" s="23"/>
      <c r="B579" s="36" t="s">
        <v>580</v>
      </c>
      <c r="C579" s="11" t="s">
        <v>195</v>
      </c>
      <c r="D579" s="8"/>
      <c r="E579" s="8"/>
      <c r="F579" s="8"/>
      <c r="G579" s="8"/>
      <c r="H579" s="20"/>
      <c r="I579" s="20"/>
      <c r="J579" s="20"/>
      <c r="K579" s="8">
        <v>450000</v>
      </c>
      <c r="L579" s="8"/>
      <c r="M579" s="24">
        <f>K579</f>
        <v>450000</v>
      </c>
      <c r="N579" s="24"/>
      <c r="O579" s="240">
        <f t="shared" si="74"/>
        <v>0.01400352677265822</v>
      </c>
    </row>
    <row r="580" spans="1:15" ht="12.75" customHeight="1">
      <c r="A580" s="23"/>
      <c r="B580" s="36" t="s">
        <v>731</v>
      </c>
      <c r="C580" s="11" t="s">
        <v>195</v>
      </c>
      <c r="D580" s="8"/>
      <c r="E580" s="8"/>
      <c r="F580" s="8"/>
      <c r="G580" s="8"/>
      <c r="H580" s="20"/>
      <c r="I580" s="20"/>
      <c r="J580" s="20"/>
      <c r="K580" s="8">
        <v>161400</v>
      </c>
      <c r="L580" s="8"/>
      <c r="M580" s="24">
        <f>K580</f>
        <v>161400</v>
      </c>
      <c r="N580" s="24"/>
      <c r="O580" s="240">
        <f t="shared" si="74"/>
        <v>0.005022598269126748</v>
      </c>
    </row>
    <row r="581" spans="1:15" ht="16.5" customHeight="1">
      <c r="A581" s="26" t="s">
        <v>526</v>
      </c>
      <c r="B581" s="38"/>
      <c r="C581" s="4" t="s">
        <v>527</v>
      </c>
      <c r="D581" s="7"/>
      <c r="E581" s="7"/>
      <c r="F581" s="7"/>
      <c r="G581" s="7"/>
      <c r="H581" s="7">
        <f>H582</f>
        <v>5083</v>
      </c>
      <c r="I581" s="7">
        <f>I582</f>
        <v>0</v>
      </c>
      <c r="J581" s="7">
        <f>J582</f>
        <v>0</v>
      </c>
      <c r="K581" s="7">
        <f>SUM(K582:K588)</f>
        <v>364160</v>
      </c>
      <c r="L581" s="7">
        <f>SUM(L582:L588)</f>
        <v>0</v>
      </c>
      <c r="M581" s="7">
        <f>SUM(M582:M588)</f>
        <v>364160</v>
      </c>
      <c r="N581" s="7">
        <f>SUM(N582:N588)</f>
        <v>0</v>
      </c>
      <c r="O581" s="240">
        <f t="shared" si="74"/>
        <v>0.011332276243402705</v>
      </c>
    </row>
    <row r="582" spans="1:15" ht="15" customHeight="1">
      <c r="A582" s="23"/>
      <c r="B582" s="36" t="s">
        <v>239</v>
      </c>
      <c r="C582" s="11" t="s">
        <v>581</v>
      </c>
      <c r="D582" s="8"/>
      <c r="E582" s="8"/>
      <c r="F582" s="8"/>
      <c r="G582" s="8"/>
      <c r="H582" s="20">
        <v>5083</v>
      </c>
      <c r="I582" s="20">
        <v>0</v>
      </c>
      <c r="J582" s="20">
        <v>0</v>
      </c>
      <c r="K582" s="20">
        <v>6000</v>
      </c>
      <c r="L582" s="8">
        <v>0</v>
      </c>
      <c r="M582" s="24">
        <f>K582</f>
        <v>6000</v>
      </c>
      <c r="N582" s="24">
        <v>0</v>
      </c>
      <c r="O582" s="240">
        <f t="shared" si="74"/>
        <v>0.0001867136903021096</v>
      </c>
    </row>
    <row r="583" spans="1:15" ht="15" customHeight="1">
      <c r="A583" s="23"/>
      <c r="B583" s="36" t="s">
        <v>582</v>
      </c>
      <c r="C583" s="11" t="s">
        <v>581</v>
      </c>
      <c r="D583" s="8"/>
      <c r="E583" s="8"/>
      <c r="F583" s="8"/>
      <c r="G583" s="8"/>
      <c r="H583" s="20">
        <v>5083</v>
      </c>
      <c r="I583" s="20">
        <v>0</v>
      </c>
      <c r="J583" s="20">
        <v>0</v>
      </c>
      <c r="K583" s="20">
        <v>233240</v>
      </c>
      <c r="L583" s="8">
        <v>0</v>
      </c>
      <c r="M583" s="24">
        <f aca="true" t="shared" si="77" ref="M583:M588">K583</f>
        <v>233240</v>
      </c>
      <c r="N583" s="24">
        <v>0</v>
      </c>
      <c r="O583" s="240">
        <f aca="true" t="shared" si="78" ref="O583:O588">K583/$K$616</f>
        <v>0.0072581835210106735</v>
      </c>
    </row>
    <row r="584" spans="1:15" ht="15" customHeight="1">
      <c r="A584" s="23"/>
      <c r="B584" s="36" t="s">
        <v>583</v>
      </c>
      <c r="C584" s="11" t="s">
        <v>581</v>
      </c>
      <c r="D584" s="8"/>
      <c r="E584" s="8"/>
      <c r="F584" s="8"/>
      <c r="G584" s="8"/>
      <c r="H584" s="20">
        <v>5083</v>
      </c>
      <c r="I584" s="20">
        <v>0</v>
      </c>
      <c r="J584" s="20">
        <v>0</v>
      </c>
      <c r="K584" s="20">
        <v>109760</v>
      </c>
      <c r="L584" s="8">
        <v>0</v>
      </c>
      <c r="M584" s="24">
        <f t="shared" si="77"/>
        <v>109760</v>
      </c>
      <c r="N584" s="24">
        <v>0</v>
      </c>
      <c r="O584" s="240">
        <f t="shared" si="78"/>
        <v>0.0034156157745932583</v>
      </c>
    </row>
    <row r="585" spans="1:15" ht="15" customHeight="1">
      <c r="A585" s="23"/>
      <c r="B585" s="36" t="s">
        <v>567</v>
      </c>
      <c r="C585" s="11" t="s">
        <v>52</v>
      </c>
      <c r="D585" s="8"/>
      <c r="E585" s="8"/>
      <c r="F585" s="8"/>
      <c r="G585" s="8"/>
      <c r="H585" s="20">
        <v>5083</v>
      </c>
      <c r="I585" s="20">
        <v>0</v>
      </c>
      <c r="J585" s="20">
        <v>0</v>
      </c>
      <c r="K585" s="20">
        <v>2856</v>
      </c>
      <c r="L585" s="8">
        <v>0</v>
      </c>
      <c r="M585" s="24">
        <f t="shared" si="77"/>
        <v>2856</v>
      </c>
      <c r="N585" s="24">
        <v>0</v>
      </c>
      <c r="O585" s="240">
        <f t="shared" si="78"/>
        <v>8.887571658380417E-05</v>
      </c>
    </row>
    <row r="586" spans="1:15" ht="15" customHeight="1">
      <c r="A586" s="23"/>
      <c r="B586" s="36" t="s">
        <v>568</v>
      </c>
      <c r="C586" s="11" t="s">
        <v>52</v>
      </c>
      <c r="D586" s="8"/>
      <c r="E586" s="8"/>
      <c r="F586" s="8"/>
      <c r="G586" s="8"/>
      <c r="H586" s="20">
        <v>5083</v>
      </c>
      <c r="I586" s="20">
        <v>0</v>
      </c>
      <c r="J586" s="20">
        <v>0</v>
      </c>
      <c r="K586" s="20">
        <v>1344</v>
      </c>
      <c r="L586" s="8">
        <v>0</v>
      </c>
      <c r="M586" s="24">
        <f t="shared" si="77"/>
        <v>1344</v>
      </c>
      <c r="N586" s="24">
        <v>0</v>
      </c>
      <c r="O586" s="240">
        <f t="shared" si="78"/>
        <v>4.182386662767255E-05</v>
      </c>
    </row>
    <row r="587" spans="1:15" ht="15" customHeight="1">
      <c r="A587" s="23"/>
      <c r="B587" s="36" t="s">
        <v>570</v>
      </c>
      <c r="C587" s="11" t="s">
        <v>385</v>
      </c>
      <c r="D587" s="8"/>
      <c r="E587" s="8"/>
      <c r="F587" s="8"/>
      <c r="G587" s="8"/>
      <c r="H587" s="20">
        <v>5083</v>
      </c>
      <c r="I587" s="20">
        <v>0</v>
      </c>
      <c r="J587" s="20">
        <v>0</v>
      </c>
      <c r="K587" s="20">
        <v>7453</v>
      </c>
      <c r="L587" s="8">
        <v>0</v>
      </c>
      <c r="M587" s="24">
        <f t="shared" si="77"/>
        <v>7453</v>
      </c>
      <c r="N587" s="24">
        <v>0</v>
      </c>
      <c r="O587" s="240">
        <f t="shared" si="78"/>
        <v>0.00023192952230360382</v>
      </c>
    </row>
    <row r="588" spans="1:15" ht="15" customHeight="1">
      <c r="A588" s="23"/>
      <c r="B588" s="36" t="s">
        <v>571</v>
      </c>
      <c r="C588" s="11" t="s">
        <v>385</v>
      </c>
      <c r="D588" s="8"/>
      <c r="E588" s="8"/>
      <c r="F588" s="8"/>
      <c r="G588" s="8"/>
      <c r="H588" s="20">
        <v>5083</v>
      </c>
      <c r="I588" s="20">
        <v>0</v>
      </c>
      <c r="J588" s="20">
        <v>0</v>
      </c>
      <c r="K588" s="20">
        <v>3507</v>
      </c>
      <c r="L588" s="8">
        <v>0</v>
      </c>
      <c r="M588" s="24">
        <f t="shared" si="77"/>
        <v>3507</v>
      </c>
      <c r="N588" s="24">
        <v>0</v>
      </c>
      <c r="O588" s="240">
        <f t="shared" si="78"/>
        <v>0.00010913415198158306</v>
      </c>
    </row>
    <row r="589" spans="1:15" ht="16.5" customHeight="1">
      <c r="A589" s="26" t="s">
        <v>528</v>
      </c>
      <c r="B589" s="26"/>
      <c r="C589" s="4" t="s">
        <v>529</v>
      </c>
      <c r="D589" s="7">
        <f>D590+D594</f>
        <v>24996</v>
      </c>
      <c r="E589" s="7">
        <f>E590+E594+E595+E596+E591+E592</f>
        <v>24996</v>
      </c>
      <c r="F589" s="7">
        <f>F590+F594+F595+F596+F591+F592</f>
        <v>325</v>
      </c>
      <c r="G589" s="7">
        <f>G590+G594+G595+G596+G591+G592</f>
        <v>325</v>
      </c>
      <c r="H589" s="7">
        <f>H590+H591+H592+H594+H595</f>
        <v>9000</v>
      </c>
      <c r="I589" s="7">
        <f>I590+I591+I592+I594+I595</f>
        <v>0</v>
      </c>
      <c r="J589" s="7">
        <f>J590+J591+J592+J594+J595</f>
        <v>0</v>
      </c>
      <c r="K589" s="7">
        <f>K590+K591+K592+K593+K594+K595</f>
        <v>3900</v>
      </c>
      <c r="L589" s="7">
        <f>L590+L591+L592+L593+L594+L595+L596</f>
        <v>0</v>
      </c>
      <c r="M589" s="19">
        <f>M590+M591+M592+M593+M594+M595+M596</f>
        <v>2400</v>
      </c>
      <c r="N589" s="19">
        <f>N590+N591+N592+N593+N594</f>
        <v>1500</v>
      </c>
      <c r="O589" s="240">
        <f aca="true" t="shared" si="79" ref="O589:O599">K589/$K$616</f>
        <v>0.00012136389869637124</v>
      </c>
    </row>
    <row r="590" spans="1:15" ht="15" customHeight="1">
      <c r="A590" s="23"/>
      <c r="B590" s="23" t="s">
        <v>344</v>
      </c>
      <c r="C590" s="479" t="s">
        <v>752</v>
      </c>
      <c r="D590" s="8">
        <v>16664</v>
      </c>
      <c r="E590" s="8">
        <v>16664</v>
      </c>
      <c r="F590" s="8">
        <v>0</v>
      </c>
      <c r="G590" s="8">
        <v>0</v>
      </c>
      <c r="H590" s="20">
        <v>6000</v>
      </c>
      <c r="I590" s="20">
        <v>0</v>
      </c>
      <c r="J590" s="20">
        <v>0</v>
      </c>
      <c r="K590" s="8">
        <v>1500</v>
      </c>
      <c r="L590" s="8">
        <v>0</v>
      </c>
      <c r="M590" s="24">
        <v>0</v>
      </c>
      <c r="N590" s="24">
        <f>K590</f>
        <v>1500</v>
      </c>
      <c r="O590" s="240">
        <f t="shared" si="79"/>
        <v>4.66784225755274E-05</v>
      </c>
    </row>
    <row r="591" spans="1:15" ht="15" customHeight="1">
      <c r="A591" s="23"/>
      <c r="B591" s="23" t="s">
        <v>314</v>
      </c>
      <c r="C591" s="11" t="s">
        <v>531</v>
      </c>
      <c r="D591" s="8"/>
      <c r="E591" s="8">
        <v>286</v>
      </c>
      <c r="F591" s="8">
        <v>286</v>
      </c>
      <c r="G591" s="8">
        <v>0</v>
      </c>
      <c r="H591" s="20">
        <v>324</v>
      </c>
      <c r="I591" s="20">
        <v>0</v>
      </c>
      <c r="J591" s="20">
        <v>0</v>
      </c>
      <c r="K591" s="8">
        <v>0</v>
      </c>
      <c r="L591" s="8">
        <v>0</v>
      </c>
      <c r="M591" s="24">
        <f>K591</f>
        <v>0</v>
      </c>
      <c r="N591" s="24">
        <v>0</v>
      </c>
      <c r="O591" s="240">
        <f t="shared" si="79"/>
        <v>0</v>
      </c>
    </row>
    <row r="592" spans="1:15" ht="14.25" customHeight="1">
      <c r="A592" s="23"/>
      <c r="B592" s="23" t="s">
        <v>289</v>
      </c>
      <c r="C592" s="11" t="s">
        <v>510</v>
      </c>
      <c r="D592" s="8"/>
      <c r="E592" s="8">
        <v>39</v>
      </c>
      <c r="F592" s="8">
        <v>39</v>
      </c>
      <c r="G592" s="8">
        <v>0</v>
      </c>
      <c r="H592" s="20">
        <v>44</v>
      </c>
      <c r="I592" s="20">
        <v>0</v>
      </c>
      <c r="J592" s="20">
        <v>0</v>
      </c>
      <c r="K592" s="8">
        <v>0</v>
      </c>
      <c r="L592" s="8">
        <v>0</v>
      </c>
      <c r="M592" s="24">
        <f>K592</f>
        <v>0</v>
      </c>
      <c r="N592" s="24">
        <v>0</v>
      </c>
      <c r="O592" s="240">
        <f t="shared" si="79"/>
        <v>0</v>
      </c>
    </row>
    <row r="593" spans="1:15" ht="14.25" customHeight="1">
      <c r="A593" s="23"/>
      <c r="B593" s="23" t="s">
        <v>37</v>
      </c>
      <c r="C593" s="11" t="s">
        <v>52</v>
      </c>
      <c r="D593" s="8"/>
      <c r="E593" s="8"/>
      <c r="F593" s="8"/>
      <c r="G593" s="8"/>
      <c r="H593" s="20"/>
      <c r="I593" s="20"/>
      <c r="J593" s="20"/>
      <c r="K593" s="8">
        <v>1400</v>
      </c>
      <c r="L593" s="8">
        <v>0</v>
      </c>
      <c r="M593" s="24">
        <f>K593</f>
        <v>1400</v>
      </c>
      <c r="N593" s="24">
        <v>0</v>
      </c>
      <c r="O593" s="240">
        <f t="shared" si="79"/>
        <v>4.356652773715891E-05</v>
      </c>
    </row>
    <row r="594" spans="1:15" ht="12.75" customHeight="1">
      <c r="A594" s="23"/>
      <c r="B594" s="23" t="s">
        <v>291</v>
      </c>
      <c r="C594" s="11" t="s">
        <v>318</v>
      </c>
      <c r="D594" s="8">
        <v>8332</v>
      </c>
      <c r="E594" s="8">
        <v>3107</v>
      </c>
      <c r="F594" s="8">
        <v>0</v>
      </c>
      <c r="G594" s="8">
        <v>325</v>
      </c>
      <c r="H594" s="20">
        <v>832</v>
      </c>
      <c r="I594" s="20">
        <v>0</v>
      </c>
      <c r="J594" s="20">
        <v>0</v>
      </c>
      <c r="K594" s="8">
        <v>600</v>
      </c>
      <c r="L594" s="8">
        <v>0</v>
      </c>
      <c r="M594" s="24">
        <f>K594</f>
        <v>600</v>
      </c>
      <c r="N594" s="24">
        <v>0</v>
      </c>
      <c r="O594" s="240">
        <f t="shared" si="79"/>
        <v>1.867136903021096E-05</v>
      </c>
    </row>
    <row r="595" spans="1:15" ht="13.5" customHeight="1">
      <c r="A595" s="23"/>
      <c r="B595" s="23" t="s">
        <v>297</v>
      </c>
      <c r="C595" s="11" t="s">
        <v>298</v>
      </c>
      <c r="D595" s="8"/>
      <c r="E595" s="8">
        <v>2500</v>
      </c>
      <c r="F595" s="8">
        <v>0</v>
      </c>
      <c r="G595" s="8">
        <v>0</v>
      </c>
      <c r="H595" s="20">
        <v>1800</v>
      </c>
      <c r="I595" s="20">
        <v>0</v>
      </c>
      <c r="J595" s="20">
        <v>0</v>
      </c>
      <c r="K595" s="8">
        <v>400</v>
      </c>
      <c r="L595" s="8">
        <v>0</v>
      </c>
      <c r="M595" s="24">
        <f>K595</f>
        <v>400</v>
      </c>
      <c r="N595" s="24">
        <v>0</v>
      </c>
      <c r="O595" s="240">
        <f t="shared" si="79"/>
        <v>1.2447579353473973E-05</v>
      </c>
    </row>
    <row r="596" spans="1:15" ht="15.75" customHeight="1" hidden="1">
      <c r="A596" s="23"/>
      <c r="B596" s="23" t="s">
        <v>279</v>
      </c>
      <c r="C596" s="11" t="s">
        <v>532</v>
      </c>
      <c r="D596" s="8"/>
      <c r="E596" s="8">
        <v>2400</v>
      </c>
      <c r="F596" s="8">
        <v>0</v>
      </c>
      <c r="G596" s="8">
        <v>0</v>
      </c>
      <c r="H596" s="8"/>
      <c r="I596" s="8"/>
      <c r="J596" s="8"/>
      <c r="K596" s="8"/>
      <c r="L596" s="8"/>
      <c r="M596" s="24"/>
      <c r="N596" s="24"/>
      <c r="O596" s="240">
        <f t="shared" si="79"/>
        <v>0</v>
      </c>
    </row>
    <row r="597" spans="1:15" ht="13.5" customHeight="1">
      <c r="A597" s="26" t="s">
        <v>533</v>
      </c>
      <c r="B597" s="26"/>
      <c r="C597" s="4" t="s">
        <v>357</v>
      </c>
      <c r="D597" s="7"/>
      <c r="E597" s="7">
        <f aca="true" t="shared" si="80" ref="E597:N597">E598</f>
        <v>0</v>
      </c>
      <c r="F597" s="7">
        <f t="shared" si="80"/>
        <v>27582</v>
      </c>
      <c r="G597" s="7">
        <f t="shared" si="80"/>
        <v>0</v>
      </c>
      <c r="H597" s="7">
        <f>H598</f>
        <v>12118</v>
      </c>
      <c r="I597" s="7">
        <f>I598</f>
        <v>0</v>
      </c>
      <c r="J597" s="7">
        <f>J598</f>
        <v>0</v>
      </c>
      <c r="K597" s="7">
        <f>K598</f>
        <v>0</v>
      </c>
      <c r="L597" s="7">
        <f t="shared" si="80"/>
        <v>0</v>
      </c>
      <c r="M597" s="19">
        <f t="shared" si="80"/>
        <v>0</v>
      </c>
      <c r="N597" s="19">
        <f t="shared" si="80"/>
        <v>0</v>
      </c>
      <c r="O597" s="240">
        <f t="shared" si="79"/>
        <v>0</v>
      </c>
    </row>
    <row r="598" spans="1:15" ht="12.75" customHeight="1">
      <c r="A598" s="23"/>
      <c r="B598" s="23" t="s">
        <v>303</v>
      </c>
      <c r="C598" s="11" t="s">
        <v>304</v>
      </c>
      <c r="D598" s="8"/>
      <c r="E598" s="8">
        <v>0</v>
      </c>
      <c r="F598" s="8">
        <v>27582</v>
      </c>
      <c r="G598" s="8">
        <v>0</v>
      </c>
      <c r="H598" s="24">
        <v>12118</v>
      </c>
      <c r="I598" s="24">
        <v>0</v>
      </c>
      <c r="J598" s="24">
        <v>0</v>
      </c>
      <c r="K598" s="8">
        <v>0</v>
      </c>
      <c r="L598" s="8">
        <v>0</v>
      </c>
      <c r="M598" s="24">
        <f>K598</f>
        <v>0</v>
      </c>
      <c r="N598" s="24">
        <v>0</v>
      </c>
      <c r="O598" s="240">
        <f t="shared" si="79"/>
        <v>0</v>
      </c>
    </row>
    <row r="599" spans="1:31" s="286" customFormat="1" ht="28.5" customHeight="1">
      <c r="A599" s="294" t="s">
        <v>534</v>
      </c>
      <c r="B599" s="294"/>
      <c r="C599" s="293" t="s">
        <v>535</v>
      </c>
      <c r="D599" s="288" t="e">
        <f aca="true" t="shared" si="81" ref="D599:J599">D600+D603</f>
        <v>#REF!</v>
      </c>
      <c r="E599" s="288">
        <f t="shared" si="81"/>
        <v>45000</v>
      </c>
      <c r="F599" s="288">
        <f t="shared" si="81"/>
        <v>0</v>
      </c>
      <c r="G599" s="288">
        <f t="shared" si="81"/>
        <v>0</v>
      </c>
      <c r="H599" s="288" t="e">
        <f t="shared" si="81"/>
        <v>#REF!</v>
      </c>
      <c r="I599" s="288" t="e">
        <f t="shared" si="81"/>
        <v>#REF!</v>
      </c>
      <c r="J599" s="288" t="e">
        <f t="shared" si="81"/>
        <v>#REF!</v>
      </c>
      <c r="K599" s="288">
        <f>K600+K603</f>
        <v>105100</v>
      </c>
      <c r="L599" s="288">
        <f>L600+L603</f>
        <v>0</v>
      </c>
      <c r="M599" s="288">
        <f>M600+M603</f>
        <v>72100</v>
      </c>
      <c r="N599" s="288">
        <f>N600+N603</f>
        <v>33000</v>
      </c>
      <c r="O599" s="285">
        <f t="shared" si="79"/>
        <v>0.0032706014751252865</v>
      </c>
      <c r="P599" s="301"/>
      <c r="Q599" s="301"/>
      <c r="R599" s="301"/>
      <c r="S599" s="301"/>
      <c r="T599" s="301"/>
      <c r="U599" s="301"/>
      <c r="V599" s="301"/>
      <c r="W599" s="301"/>
      <c r="X599" s="301"/>
      <c r="Y599" s="301"/>
      <c r="Z599" s="301"/>
      <c r="AA599" s="301"/>
      <c r="AB599" s="301"/>
      <c r="AC599" s="301"/>
      <c r="AD599" s="301"/>
      <c r="AE599" s="301"/>
    </row>
    <row r="600" spans="1:15" ht="18" customHeight="1">
      <c r="A600" s="26" t="s">
        <v>536</v>
      </c>
      <c r="B600" s="26"/>
      <c r="C600" s="4" t="s">
        <v>537</v>
      </c>
      <c r="D600" s="7">
        <f aca="true" t="shared" si="82" ref="D600:J600">D601</f>
        <v>0</v>
      </c>
      <c r="E600" s="7">
        <f t="shared" si="82"/>
        <v>30000</v>
      </c>
      <c r="F600" s="7">
        <f t="shared" si="82"/>
        <v>0</v>
      </c>
      <c r="G600" s="7">
        <f t="shared" si="82"/>
        <v>0</v>
      </c>
      <c r="H600" s="7">
        <f t="shared" si="82"/>
        <v>30000</v>
      </c>
      <c r="I600" s="7">
        <f t="shared" si="82"/>
        <v>0</v>
      </c>
      <c r="J600" s="7">
        <f t="shared" si="82"/>
        <v>0</v>
      </c>
      <c r="K600" s="7">
        <f>K601+K602</f>
        <v>98000</v>
      </c>
      <c r="L600" s="7">
        <f>L601</f>
        <v>0</v>
      </c>
      <c r="M600" s="19">
        <f>M601+M602</f>
        <v>65000</v>
      </c>
      <c r="N600" s="19">
        <f>N601</f>
        <v>33000</v>
      </c>
      <c r="O600" s="240">
        <f aca="true" t="shared" si="83" ref="O600:O616">K600/$K$616</f>
        <v>0.0030496569416011234</v>
      </c>
    </row>
    <row r="601" spans="1:15" ht="22.5" customHeight="1">
      <c r="A601" s="23"/>
      <c r="B601" s="23" t="s">
        <v>344</v>
      </c>
      <c r="C601" s="11" t="s">
        <v>538</v>
      </c>
      <c r="D601" s="8">
        <v>0</v>
      </c>
      <c r="E601" s="8">
        <v>30000</v>
      </c>
      <c r="F601" s="8">
        <v>0</v>
      </c>
      <c r="G601" s="8">
        <v>0</v>
      </c>
      <c r="H601" s="8">
        <v>30000</v>
      </c>
      <c r="I601" s="8">
        <v>0</v>
      </c>
      <c r="J601" s="8">
        <v>0</v>
      </c>
      <c r="K601" s="8">
        <v>33000</v>
      </c>
      <c r="L601" s="8">
        <v>0</v>
      </c>
      <c r="M601" s="24">
        <v>0</v>
      </c>
      <c r="N601" s="24">
        <f>K601</f>
        <v>33000</v>
      </c>
      <c r="O601" s="240">
        <f t="shared" si="83"/>
        <v>0.0010269252966616028</v>
      </c>
    </row>
    <row r="602" spans="1:15" ht="24" customHeight="1">
      <c r="A602" s="23"/>
      <c r="B602" s="23" t="s">
        <v>321</v>
      </c>
      <c r="C602" s="11" t="s">
        <v>954</v>
      </c>
      <c r="D602" s="8"/>
      <c r="E602" s="8"/>
      <c r="F602" s="8"/>
      <c r="G602" s="8"/>
      <c r="H602" s="8"/>
      <c r="I602" s="8"/>
      <c r="J602" s="8"/>
      <c r="K602" s="8">
        <v>65000</v>
      </c>
      <c r="L602" s="8">
        <v>0</v>
      </c>
      <c r="M602" s="24">
        <f>K602</f>
        <v>65000</v>
      </c>
      <c r="N602" s="24">
        <v>0</v>
      </c>
      <c r="O602" s="240">
        <f t="shared" si="83"/>
        <v>0.0020227316449395205</v>
      </c>
    </row>
    <row r="603" spans="1:15" ht="15" customHeight="1">
      <c r="A603" s="26" t="s">
        <v>539</v>
      </c>
      <c r="B603" s="23"/>
      <c r="C603" s="4" t="s">
        <v>357</v>
      </c>
      <c r="D603" s="7" t="e">
        <f>#REF!</f>
        <v>#REF!</v>
      </c>
      <c r="E603" s="7">
        <f>E606+E607+E604</f>
        <v>15000</v>
      </c>
      <c r="F603" s="7">
        <f>F606+F607+F604</f>
        <v>0</v>
      </c>
      <c r="G603" s="7">
        <f>G606+G607+G604</f>
        <v>0</v>
      </c>
      <c r="H603" s="7" t="e">
        <f>H606+H607+#REF!</f>
        <v>#REF!</v>
      </c>
      <c r="I603" s="7" t="e">
        <f>I606+I607+#REF!</f>
        <v>#REF!</v>
      </c>
      <c r="J603" s="7" t="e">
        <f>J606+J607+#REF!</f>
        <v>#REF!</v>
      </c>
      <c r="K603" s="7">
        <f>SUM(K606:K607)</f>
        <v>7100</v>
      </c>
      <c r="L603" s="7">
        <f>SUM(L606:L607)</f>
        <v>0</v>
      </c>
      <c r="M603" s="7">
        <f>SUM(M606:M607)</f>
        <v>7100</v>
      </c>
      <c r="N603" s="7">
        <f>SUM(N606:N607)</f>
        <v>0</v>
      </c>
      <c r="O603" s="240">
        <f t="shared" si="83"/>
        <v>0.00022094453352416302</v>
      </c>
    </row>
    <row r="604" spans="1:15" ht="14.25" customHeight="1" hidden="1">
      <c r="A604" s="26"/>
      <c r="B604" s="23"/>
      <c r="C604" s="29" t="s">
        <v>329</v>
      </c>
      <c r="D604" s="20"/>
      <c r="E604" s="20">
        <v>240</v>
      </c>
      <c r="F604" s="20">
        <v>0</v>
      </c>
      <c r="G604" s="20">
        <v>0</v>
      </c>
      <c r="H604" s="8"/>
      <c r="I604" s="8"/>
      <c r="J604" s="8"/>
      <c r="K604" s="8"/>
      <c r="L604" s="20">
        <v>0</v>
      </c>
      <c r="M604" s="21">
        <f>H604</f>
        <v>0</v>
      </c>
      <c r="N604" s="21">
        <v>0</v>
      </c>
      <c r="O604" s="240">
        <f t="shared" si="83"/>
        <v>0</v>
      </c>
    </row>
    <row r="605" spans="1:15" ht="28.5" customHeight="1" hidden="1">
      <c r="A605" s="26"/>
      <c r="B605" s="23" t="s">
        <v>344</v>
      </c>
      <c r="C605" s="11" t="s">
        <v>530</v>
      </c>
      <c r="D605" s="20"/>
      <c r="E605" s="20"/>
      <c r="F605" s="20"/>
      <c r="G605" s="20"/>
      <c r="H605" s="8">
        <v>0</v>
      </c>
      <c r="I605" s="8">
        <v>0</v>
      </c>
      <c r="J605" s="8">
        <v>0</v>
      </c>
      <c r="K605" s="8"/>
      <c r="L605" s="20">
        <v>0</v>
      </c>
      <c r="M605" s="21">
        <v>0</v>
      </c>
      <c r="N605" s="21">
        <v>0</v>
      </c>
      <c r="O605" s="240">
        <f t="shared" si="83"/>
        <v>0</v>
      </c>
    </row>
    <row r="606" spans="1:15" ht="19.5" customHeight="1">
      <c r="A606" s="26"/>
      <c r="B606" s="23" t="s">
        <v>291</v>
      </c>
      <c r="C606" s="29" t="s">
        <v>318</v>
      </c>
      <c r="D606" s="20"/>
      <c r="E606" s="20">
        <v>10760</v>
      </c>
      <c r="F606" s="20">
        <v>0</v>
      </c>
      <c r="G606" s="20">
        <v>0</v>
      </c>
      <c r="H606" s="8">
        <v>3570</v>
      </c>
      <c r="I606" s="8">
        <v>0</v>
      </c>
      <c r="J606" s="8">
        <v>0</v>
      </c>
      <c r="K606" s="8">
        <v>5300</v>
      </c>
      <c r="L606" s="20">
        <v>0</v>
      </c>
      <c r="M606" s="21">
        <f>K606</f>
        <v>5300</v>
      </c>
      <c r="N606" s="21">
        <v>0</v>
      </c>
      <c r="O606" s="240">
        <f t="shared" si="83"/>
        <v>0.00016493042643353015</v>
      </c>
    </row>
    <row r="607" spans="1:25" ht="16.5" customHeight="1">
      <c r="A607" s="26"/>
      <c r="B607" s="23" t="s">
        <v>297</v>
      </c>
      <c r="C607" s="29" t="s">
        <v>298</v>
      </c>
      <c r="D607" s="20"/>
      <c r="E607" s="20">
        <v>4000</v>
      </c>
      <c r="F607" s="20">
        <v>0</v>
      </c>
      <c r="G607" s="20">
        <v>0</v>
      </c>
      <c r="H607" s="8">
        <v>1480</v>
      </c>
      <c r="I607" s="8">
        <v>0</v>
      </c>
      <c r="J607" s="8">
        <v>0</v>
      </c>
      <c r="K607" s="8">
        <v>1800</v>
      </c>
      <c r="L607" s="20">
        <v>0</v>
      </c>
      <c r="M607" s="21">
        <f>K607</f>
        <v>1800</v>
      </c>
      <c r="N607" s="21">
        <v>0</v>
      </c>
      <c r="O607" s="240">
        <f t="shared" si="83"/>
        <v>5.601410709063288E-05</v>
      </c>
      <c r="P607" s="301"/>
      <c r="Q607" s="301"/>
      <c r="R607" s="301"/>
      <c r="S607" s="301"/>
      <c r="T607" s="301"/>
      <c r="U607" s="301"/>
      <c r="V607" s="301"/>
      <c r="W607" s="301"/>
      <c r="X607" s="301"/>
      <c r="Y607" s="301"/>
    </row>
    <row r="608" spans="1:25" s="286" customFormat="1" ht="20.25" customHeight="1">
      <c r="A608" s="287" t="s">
        <v>540</v>
      </c>
      <c r="B608" s="287"/>
      <c r="C608" s="293" t="s">
        <v>541</v>
      </c>
      <c r="D608" s="288">
        <f>D609+D611</f>
        <v>10000</v>
      </c>
      <c r="E608" s="288">
        <f>E609+E611</f>
        <v>25000</v>
      </c>
      <c r="F608" s="288">
        <f aca="true" t="shared" si="84" ref="F608:N608">F611</f>
        <v>0</v>
      </c>
      <c r="G608" s="288">
        <f t="shared" si="84"/>
        <v>0</v>
      </c>
      <c r="H608" s="288">
        <f>H611</f>
        <v>16000</v>
      </c>
      <c r="I608" s="288">
        <f>I611</f>
        <v>0</v>
      </c>
      <c r="J608" s="288">
        <f>J611</f>
        <v>0</v>
      </c>
      <c r="K608" s="288">
        <f>K611</f>
        <v>16000</v>
      </c>
      <c r="L608" s="288">
        <f t="shared" si="84"/>
        <v>0</v>
      </c>
      <c r="M608" s="290">
        <f t="shared" si="84"/>
        <v>16000</v>
      </c>
      <c r="N608" s="290">
        <f t="shared" si="84"/>
        <v>0</v>
      </c>
      <c r="O608" s="285">
        <f t="shared" si="83"/>
        <v>0.000497903174138959</v>
      </c>
      <c r="P608" s="301"/>
      <c r="Q608" s="301"/>
      <c r="R608" s="301"/>
      <c r="S608" s="301"/>
      <c r="T608" s="301"/>
      <c r="U608" s="301"/>
      <c r="V608" s="301"/>
      <c r="W608" s="301"/>
      <c r="X608" s="301"/>
      <c r="Y608" s="301"/>
    </row>
    <row r="609" spans="1:15" ht="18" customHeight="1" hidden="1">
      <c r="A609" s="17" t="s">
        <v>542</v>
      </c>
      <c r="B609" s="28"/>
      <c r="C609" s="4" t="s">
        <v>543</v>
      </c>
      <c r="D609" s="7">
        <f>D610</f>
        <v>0</v>
      </c>
      <c r="E609" s="7">
        <f>E610</f>
        <v>0</v>
      </c>
      <c r="F609" s="7"/>
      <c r="G609" s="7"/>
      <c r="H609" s="7"/>
      <c r="I609" s="7"/>
      <c r="J609" s="7"/>
      <c r="K609" s="7"/>
      <c r="L609" s="7"/>
      <c r="M609" s="19"/>
      <c r="N609" s="19"/>
      <c r="O609" s="240">
        <f t="shared" si="83"/>
        <v>0</v>
      </c>
    </row>
    <row r="610" spans="1:15" ht="14.25" customHeight="1" hidden="1">
      <c r="A610" s="23"/>
      <c r="B610" s="28" t="s">
        <v>321</v>
      </c>
      <c r="C610" s="11" t="s">
        <v>544</v>
      </c>
      <c r="D610" s="8">
        <v>0</v>
      </c>
      <c r="E610" s="8">
        <v>0</v>
      </c>
      <c r="F610" s="8"/>
      <c r="G610" s="8"/>
      <c r="H610" s="8"/>
      <c r="I610" s="8"/>
      <c r="J610" s="8"/>
      <c r="K610" s="8"/>
      <c r="L610" s="8"/>
      <c r="M610" s="24"/>
      <c r="N610" s="24"/>
      <c r="O610" s="240">
        <f t="shared" si="83"/>
        <v>0</v>
      </c>
    </row>
    <row r="611" spans="1:15" ht="24.75" customHeight="1">
      <c r="A611" s="26" t="s">
        <v>545</v>
      </c>
      <c r="B611" s="17"/>
      <c r="C611" s="4" t="s">
        <v>357</v>
      </c>
      <c r="D611" s="7">
        <f>D615</f>
        <v>10000</v>
      </c>
      <c r="E611" s="7">
        <f>E612+E613</f>
        <v>25000</v>
      </c>
      <c r="F611" s="7">
        <f>F612+F613</f>
        <v>0</v>
      </c>
      <c r="G611" s="7">
        <f>G612+G613</f>
        <v>0</v>
      </c>
      <c r="H611" s="7">
        <f aca="true" t="shared" si="85" ref="H611:N611">H613</f>
        <v>16000</v>
      </c>
      <c r="I611" s="7">
        <f t="shared" si="85"/>
        <v>0</v>
      </c>
      <c r="J611" s="7">
        <f t="shared" si="85"/>
        <v>0</v>
      </c>
      <c r="K611" s="7">
        <f t="shared" si="85"/>
        <v>16000</v>
      </c>
      <c r="L611" s="7">
        <f t="shared" si="85"/>
        <v>0</v>
      </c>
      <c r="M611" s="7">
        <f t="shared" si="85"/>
        <v>16000</v>
      </c>
      <c r="N611" s="7">
        <f t="shared" si="85"/>
        <v>0</v>
      </c>
      <c r="O611" s="240">
        <f t="shared" si="83"/>
        <v>0.000497903174138959</v>
      </c>
    </row>
    <row r="612" spans="1:15" ht="26.25" customHeight="1" hidden="1">
      <c r="A612" s="26"/>
      <c r="B612" s="30"/>
      <c r="C612" s="29" t="s">
        <v>329</v>
      </c>
      <c r="D612" s="20"/>
      <c r="E612" s="20">
        <v>10800</v>
      </c>
      <c r="F612" s="20">
        <v>0</v>
      </c>
      <c r="G612" s="20">
        <v>0</v>
      </c>
      <c r="H612" s="20"/>
      <c r="I612" s="20"/>
      <c r="J612" s="20"/>
      <c r="K612" s="20"/>
      <c r="L612" s="20">
        <v>0</v>
      </c>
      <c r="M612" s="21">
        <f>H612</f>
        <v>0</v>
      </c>
      <c r="N612" s="21">
        <v>0</v>
      </c>
      <c r="O612" s="240">
        <f t="shared" si="83"/>
        <v>0</v>
      </c>
    </row>
    <row r="613" spans="1:15" ht="51.75" customHeight="1">
      <c r="A613" s="26"/>
      <c r="B613" s="30" t="s">
        <v>513</v>
      </c>
      <c r="C613" s="29" t="s">
        <v>584</v>
      </c>
      <c r="D613" s="20"/>
      <c r="E613" s="20">
        <v>14200</v>
      </c>
      <c r="F613" s="20">
        <v>0</v>
      </c>
      <c r="G613" s="20">
        <v>0</v>
      </c>
      <c r="H613" s="20">
        <v>16000</v>
      </c>
      <c r="I613" s="20">
        <v>0</v>
      </c>
      <c r="J613" s="20">
        <v>0</v>
      </c>
      <c r="K613" s="8">
        <v>16000</v>
      </c>
      <c r="L613" s="20">
        <v>0</v>
      </c>
      <c r="M613" s="21">
        <f>K613</f>
        <v>16000</v>
      </c>
      <c r="N613" s="21">
        <v>0</v>
      </c>
      <c r="O613" s="240">
        <f t="shared" si="83"/>
        <v>0.000497903174138959</v>
      </c>
    </row>
    <row r="614" spans="1:15" ht="16.5" customHeight="1" hidden="1">
      <c r="A614" s="26"/>
      <c r="B614" s="17"/>
      <c r="C614" s="4"/>
      <c r="D614" s="7"/>
      <c r="E614" s="7"/>
      <c r="F614" s="7"/>
      <c r="G614" s="7"/>
      <c r="H614" s="7"/>
      <c r="I614" s="7"/>
      <c r="J614" s="7"/>
      <c r="K614" s="7"/>
      <c r="L614" s="7"/>
      <c r="M614" s="19"/>
      <c r="N614" s="19"/>
      <c r="O614" s="240">
        <f t="shared" si="83"/>
        <v>0</v>
      </c>
    </row>
    <row r="615" spans="1:15" ht="3.75" customHeight="1" hidden="1">
      <c r="A615" s="23"/>
      <c r="B615" s="28"/>
      <c r="C615" s="11"/>
      <c r="D615" s="8">
        <v>10000</v>
      </c>
      <c r="E615" s="8"/>
      <c r="F615" s="8"/>
      <c r="G615" s="8"/>
      <c r="H615" s="8"/>
      <c r="I615" s="8"/>
      <c r="J615" s="8"/>
      <c r="K615" s="8"/>
      <c r="L615" s="8"/>
      <c r="M615" s="24"/>
      <c r="N615" s="24"/>
      <c r="O615" s="240">
        <f t="shared" si="83"/>
        <v>0</v>
      </c>
    </row>
    <row r="616" spans="1:15" ht="24" customHeight="1">
      <c r="A616" s="303"/>
      <c r="B616" s="304"/>
      <c r="C616" s="305" t="s">
        <v>546</v>
      </c>
      <c r="D616" s="306" t="e">
        <f>D9+D31+D37+D63+D75+D93+D167+D216+D222+D227+D399+D428+D526+D599+D608</f>
        <v>#REF!</v>
      </c>
      <c r="E616" s="306" t="e">
        <f>E9+E31+E37+E63+E75+E93+E167+E216+E222+E227+E399+E428+E526+E599+E608</f>
        <v>#REF!</v>
      </c>
      <c r="F616" s="306" t="e">
        <f>F608+F599+F526+F428+F399+F227+F222+F216+F167+F93+F75+F63+F37+F31+F9</f>
        <v>#REF!</v>
      </c>
      <c r="G616" s="306" t="e">
        <f>G608+G599+G526+G428+G399+G227+G222+G216+G167+G93+G75+G63+G37+G31+G9</f>
        <v>#REF!</v>
      </c>
      <c r="H616" s="306" t="e">
        <f>H608+H599+H526+H428+H399+H227+H222+H216+H167+H161+H93+H75+H63+H37+H31+H9+H60</f>
        <v>#REF!</v>
      </c>
      <c r="I616" s="306" t="e">
        <f>I608+I599+I526+I428+I399+I227+I222+I216+I167+I161+I93+I75+I63+I37+I31+I9+I60</f>
        <v>#REF!</v>
      </c>
      <c r="J616" s="306" t="e">
        <f>J608+J599+J526+J428+J399+J227+J222+J216+J167+J161+J93+J75+J63+J37+J31+J9+J60</f>
        <v>#REF!</v>
      </c>
      <c r="K616" s="306">
        <f>K9+K31+K37+K63+K75+K93+K167+K216+K222+K227+K385+K399+K428+K502+K526+K599+K608</f>
        <v>32134762</v>
      </c>
      <c r="L616" s="306">
        <f>L9+L31+L37+L63+L75+L93+L167+L216+L222+L227+L385+L399+L428+L502+L526+L599+L608</f>
        <v>3305295</v>
      </c>
      <c r="M616" s="306">
        <f>M9+M31+M37+M63+M75+M93+M167+M216+M222+M227+M385+M399+M428+M502+M526+M599+M608</f>
        <v>28343451</v>
      </c>
      <c r="N616" s="306">
        <f>N9+N31+N37+N63+N75+N93+N167+N216+N222+N227+N385+N399+N428+N502+N526+N599+N608</f>
        <v>486016</v>
      </c>
      <c r="O616" s="328">
        <f t="shared" si="83"/>
        <v>1</v>
      </c>
    </row>
    <row r="617" spans="1:15" ht="24" customHeight="1">
      <c r="A617" s="8"/>
      <c r="B617" s="525" t="s">
        <v>547</v>
      </c>
      <c r="C617" s="525"/>
      <c r="D617" s="3" t="s">
        <v>548</v>
      </c>
      <c r="E617" s="3" t="s">
        <v>548</v>
      </c>
      <c r="F617" s="3" t="s">
        <v>548</v>
      </c>
      <c r="G617" s="3" t="s">
        <v>548</v>
      </c>
      <c r="H617" s="3"/>
      <c r="I617" s="3"/>
      <c r="J617" s="3"/>
      <c r="K617" s="3"/>
      <c r="L617" s="3"/>
      <c r="M617" s="3"/>
      <c r="N617" s="3"/>
      <c r="O617" s="329"/>
    </row>
    <row r="618" spans="1:15" ht="29.25" customHeight="1">
      <c r="A618" s="39"/>
      <c r="B618" s="531" t="s">
        <v>549</v>
      </c>
      <c r="C618" s="532"/>
      <c r="D618" s="532"/>
      <c r="E618" s="40" t="e">
        <f aca="true" t="shared" si="86" ref="E618:J618">E616-E623</f>
        <v>#REF!</v>
      </c>
      <c r="F618" s="40" t="e">
        <f t="shared" si="86"/>
        <v>#REF!</v>
      </c>
      <c r="G618" s="40" t="e">
        <f t="shared" si="86"/>
        <v>#REF!</v>
      </c>
      <c r="H618" s="40" t="e">
        <f t="shared" si="86"/>
        <v>#REF!</v>
      </c>
      <c r="I618" s="40" t="e">
        <f t="shared" si="86"/>
        <v>#REF!</v>
      </c>
      <c r="J618" s="40" t="e">
        <f t="shared" si="86"/>
        <v>#REF!</v>
      </c>
      <c r="K618" s="40">
        <f>K616-K623</f>
        <v>25713750</v>
      </c>
      <c r="L618" s="40">
        <f>L616-L623</f>
        <v>3305295</v>
      </c>
      <c r="M618" s="40">
        <f>M616-M623</f>
        <v>21964439</v>
      </c>
      <c r="N618" s="40">
        <f>N616-N623</f>
        <v>444016</v>
      </c>
      <c r="O618" s="240">
        <f aca="true" t="shared" si="87" ref="O618:O625">K618/$K$616</f>
        <v>0.8001848590009785</v>
      </c>
    </row>
    <row r="619" spans="1:15" ht="20.25" customHeight="1">
      <c r="A619" s="39"/>
      <c r="B619" s="528" t="s">
        <v>550</v>
      </c>
      <c r="C619" s="529"/>
      <c r="D619" s="529"/>
      <c r="E619" s="8" t="e">
        <f>E13+E15+E41+E42+E81+E83+E96+E97+E117+E118+E170+E172+E173+E174+E175+E176+E230+E231+E246+E247+E260+E261+E346+#REF!+E293+E294+E325+E326+E359+E360+E416+E417+E432+E433+E447+E448+E470+E471+E504+E512+E513+E529+E530+E542+E543+E557+E558+E14+E190+E191+E192+E193+E194+#REF!+#REF!+E171</f>
        <v>#REF!</v>
      </c>
      <c r="F619" s="8" t="e">
        <f>F13+F15+F41+F42+F81+F83+F96+F97+F117+F118+F170+F172+F173+F174+F175+F176+F230+F231+F246+F247+F260+F261+F346+#REF!+F293+F294+F325+F326+F359+F360+F416+F417+F432+F433+F447+F448+F470+F471+F504+F512+F513+F529+F530+F542+F543+F557+F558+F14+F190+F191+F192+F193+F194+#REF!+#REF!+F171</f>
        <v>#REF!</v>
      </c>
      <c r="G619" s="8" t="e">
        <f>G13+G15+G41+G42+G81+G83+G96+G97+G117+G118+G170+G172+G173+G174+G175+G176+G230+G231+G246+G247+G260+G261+G346+#REF!+G293+G294+G325+G326+G359+G360+G416+G417+G432+G433+G447+G448+G470+G471+G504+G512+G513+G529+G530+G542+G543+G557+G558+G14+G190+G191+G192+G193+G194+#REF!+#REF!+G171</f>
        <v>#REF!</v>
      </c>
      <c r="H619" s="8" t="e">
        <f>H13+H14+H15+H41+H42+H81+H82+H83+H96+H97+H117+H118+H170+H171+H172+H173+H174+H175+H176+H190+H191+H192+H193+H194+#REF!++H230+H231+H246+H247+H260+H261+H293+H294+H346+H359+H360+H432+H433+H447+H448+H470+H471+H504+H505+#REF!+#REF!+H512+H513+H529+H530+H542+H543+H557+H558+H378+H282</f>
        <v>#REF!</v>
      </c>
      <c r="I619" s="8" t="e">
        <f>I13+I14+I15+I41+I42+I81+I82+I83+I96+I97+I117+I118+I170+I171+I172+I173+I174+I175+I176+I190+I191+I192+I193+I194+#REF!++I230+I231+I246+I247+I260+I261+I293+I294+I346+I359+I360+I432+I433+I447+I448+I470+I471+I504+I505+#REF!+#REF!+I512+I513+I529+I530+I542+I543+I557+I558+I378+I282</f>
        <v>#REF!</v>
      </c>
      <c r="J619" s="8" t="e">
        <f>J13+J14+J15+J41+J42+J81+J82+J83+J96+J97+J117+J118+J170+J171+J172+J173+J174+J175+J176+J190+J191+J192+J193+J194+#REF!++J230+J231+J246+J247+J260+J261+J293+J294+J346+J359+J360+J432+J433+J447+J448+J470+J471+J504+J505+#REF!+#REF!+J512+J513+J529+J530+J542+J543+J557+J558+J378+J282</f>
        <v>#REF!</v>
      </c>
      <c r="K619" s="8">
        <f>K41+K42+K45+K73+K81+K82+K83+K96+K97+K101+K117+K118+K120+K144+K150+K157+K190+K191+K192+K193+K194+K197+K230+K231+K234+K246+K247+K260+K261+K267+K282+K283+K293+K294+K299+K359+K360+K373+K378+K381+K389+K390+K406+K432+K433+K447+K448+K470+K471+K475+K484+K504+K505+K512+K513+K518+K529+K530+K542+K543+K546+K557+K558+K561+K585+K586+K593</f>
        <v>13475672</v>
      </c>
      <c r="L619" s="8">
        <f>L41+L42+L45+L73+L81+L82+L83+L96+L97+L101+L117+L118+L120+L144+L150+L157+L190+L191+L192+L193+L194+L197+L230+L231+L234+L246+L247+L260+L261+L267+L282+L283+L293+L294+L299+L359+L360+L373+L378+L381+L389+L390+L406+L432+L433+L447+L448+L470+L471+L475+L484+L504+L505+L512+L513+L518+L529+L530+L542+L543+L546+L557+L558+L561+L585+L586+L593</f>
        <v>1951486</v>
      </c>
      <c r="M619" s="8">
        <f>M41+M42+M45+M73+M81+M82+M83+M96+M97+M101+M117+M118+M120+M144+M150+M157+M190+M191+M192+M193+M194+M197+M230+M231+M234+M246+M247+M260+M261+M267+M282+M283+M293+M294+M299+M359+M360+M373+M378+M381+M389+M390+M406+M432+M433+M447+M448+M470+M471+M475+M484+M504+M505+M512+M513+M518+M529+M530+M542+M543+M546+M557+M558+M561+M585+M586+M593</f>
        <v>11524186</v>
      </c>
      <c r="N619" s="8">
        <f>N41+N42+N45+N73+N81+N82+N83+N96+N97+N101+N117+N118+N120+N144+N150+N157+N190+N191+N192+N193+N194+N197+N230+N231+N234+N246+N247+N260+N261+N267+N282+N283+N293+N294+N299+N359+N360+N373+N378+N381+N389+N390+N406+N432+N433+N447+N448+N470+N471+N475+N484+N504+N505+N512+N513+N518+N529+N530+N542+N543+N546+N557+N558+N561+N585+N586+N593</f>
        <v>0</v>
      </c>
      <c r="O619" s="240">
        <f t="shared" si="87"/>
        <v>0.4193487414034683</v>
      </c>
    </row>
    <row r="620" spans="1:15" ht="18.75" customHeight="1">
      <c r="A620" s="39"/>
      <c r="B620" s="528" t="s">
        <v>551</v>
      </c>
      <c r="C620" s="529"/>
      <c r="D620" s="529"/>
      <c r="E620" s="8" t="e">
        <f>E16+E17+E43+E44+E84+E85+E98+E99+E119+E121+E141+E142+E177+E178+E195+E196+E232+E233+E248+E249+E262+E263+E295+E296+E327+E328+E347+E348+E361+E362+E418+E419+E434+E435+E449+E450+E472+E473+E506+E507+E514+E515+E531+E532+E544+E545+E559+E560+E374+#REF!+#REF!+#REF!+E591+E592</f>
        <v>#REF!</v>
      </c>
      <c r="F620" s="8" t="e">
        <f>F16+F17+F43+F44+F84+F85+F98+F99+F119+F121+F141+F142+F177+F178+F195+F196+F232+F233+F248+F249+F262+F263+F295+F296+F327+F328+F347+F348+F361+F362+F418+F419+F434+F435+F449+F450+F472+F473+F506+F507+F514+F515+F531+F532+F544+F545+F559+F560+F374+#REF!+#REF!+#REF!+F591+F592</f>
        <v>#REF!</v>
      </c>
      <c r="G620" s="8" t="e">
        <f>G16+G17+G43+G44+G84+G85+G98+G99+G119+G121+G141+G142+G177+G178+G195+G196+G232+G233+G248+G249+G262+G263+G295+G296+G327+G328+G347+G348+G361+G362+G418+G419+G434+G435+G449+G450+G472+G473+G506+G507+G514+G515+G531+G532+G544+G545+G559+G560+G374+#REF!+#REF!+#REF!+G591+G592</f>
        <v>#REF!</v>
      </c>
      <c r="H620" s="8" t="e">
        <f>H16+H17+H43+H44+H84+H85+H98+H99+H119+H121+H141+H142+H177+H178+H195+H196+H232+H233+H248+H249+H262+H263+H295+H296+H347+H348+H361+H362+H434+H435+H449+H450+H472+H473+H506+H507+#REF!+#REF!+H514+H515+H531+H532+H544+H545+H559+H560+H591+H592+H379+H380+H284+H285</f>
        <v>#REF!</v>
      </c>
      <c r="I620" s="8" t="e">
        <f>I16+I17+I43+I44+I84+I85+I98+I99+I119+I121+I141+I142+I177+I178+I195+I196+I232+I233+I248+I249+I262+I263+I295+I296+I347+I348+I361+I362+I434+I435+I449+I450+I472+I473+I506+I507+#REF!+#REF!+I514+I515+I531+I532+I544+I545+I559+I560+I591+I592+I379+I380+I284+I285</f>
        <v>#REF!</v>
      </c>
      <c r="J620" s="8" t="e">
        <f>J16+J17+J43+J44+J84+J85+J98+J99+J119+J121+J141+J142+J177+J178+J195+J196+J232+J233+J248+J249+J262+J263+J295+J296+J347+J348+J361+J362+J434+J435+J449+J450+J472+J473+J506+J507+#REF!+#REF!+J514+J515+J531+J532+J544+J545+J559+J560+J591+J592+J379+J380+J284+J285</f>
        <v>#REF!</v>
      </c>
      <c r="K620" s="8">
        <f>K43+K44+K84+K85+K98+K99+K119+K121+K141+K142+K195+K196+K232+K233+K248+K249+K262+K263+K284+K285+K295+K296+K361+K362+K379+K380+K407+K408+K434+K435+K449+K450+K472+K473+K485+K486+K506+K507+K514+K515+K531+K532+K544+K545+K559+K560</f>
        <v>2219310</v>
      </c>
      <c r="L620" s="8">
        <f>L43+L44+L84+L85+L98+L99+L119+L121+L141+L142+L195+L196+L232+L233+L248+L249+L262+L263+L284+L285+L295+L296+L361+L362+L379+L380+L407+L408+L434+L435+L449+L450+L472+L473+L485+L486+L506+L507+L514+L515+L531+L532+L544+L545+L559+L560</f>
        <v>47546</v>
      </c>
      <c r="M620" s="8">
        <f>M43+M44+M84+M85+M98+M99+M119+M121+M141+M142+M195+M196+M232+M233+M248+M249+M262+M263+M284+M285+M295+M296+M361+M362+M379+M380+M407+M408+M434+M435+M449+M450+M472+M473+M485+M486+M506+M507+M514+M515+M531+M532+M544+M545+M559+M560</f>
        <v>2171764</v>
      </c>
      <c r="N620" s="8">
        <f>N43+N44+N84+N85+N98+N99+N119+N121+N141+N142+N195+N196+N232+N233+N248+N249+N262+N263+N284+N285+N295+N296+N361+N362+N379+N380+N407+N408+N434+N435+N449+N450+N472+N473+N485+N486+N506+N507+N514+N515+N531+N532+N544+N545+N559+N560</f>
        <v>0</v>
      </c>
      <c r="O620" s="240">
        <f t="shared" si="87"/>
        <v>0.06906259333739581</v>
      </c>
    </row>
    <row r="621" spans="1:15" ht="29.25" customHeight="1">
      <c r="A621" s="39"/>
      <c r="B621" s="530" t="s">
        <v>242</v>
      </c>
      <c r="C621" s="527"/>
      <c r="D621" s="527"/>
      <c r="E621" s="8" t="e">
        <f>E134+E277+E319+E339+E354+E370+E376+E590+E601+#REF!+#REF!+#REF!+#REF!+#REF!+E401</f>
        <v>#REF!</v>
      </c>
      <c r="F621" s="8" t="e">
        <f>F134+F277+F319+F339+F354+F370+#REF!+F590+F601+F375+#REF!+#REF!+#REF!+#REF!+#REF!+F401</f>
        <v>#REF!</v>
      </c>
      <c r="G621" s="8" t="e">
        <f>G134+G277+G319+G339+G354+G370+#REF!+G590+G601+G375+#REF!+#REF!+#REF!+#REF!+#REF!+G401</f>
        <v>#REF!</v>
      </c>
      <c r="H621" s="8" t="e">
        <f>H242+H257+H277+H319+H354+H376+#REF!+#REF!+#REF!+H590+H601+H613+H103+#REF!+H605+#REF!+H243+H370+#REF!+H39+H401+#REF!+H30+#REF!</f>
        <v>#REF!</v>
      </c>
      <c r="I621" s="8" t="e">
        <f>I242+I257+I277+I319+I354+I376+#REF!+#REF!+#REF!+I590+I601+I613+I103+#REF!+I605+#REF!+I243+I370+#REF!+I39+I401+#REF!+I30+#REF!</f>
        <v>#REF!</v>
      </c>
      <c r="J621" s="8" t="e">
        <f>J242+J257+J277+J319+J354+J376+#REF!+#REF!+#REF!+J590+J601+J613+J103+#REF!+J605+#REF!+J243+J370+#REF!+J39+J401+#REF!+J30+#REF!</f>
        <v>#REF!</v>
      </c>
      <c r="K621" s="122">
        <f>K30+K39+K95+K107+K136+K149+K242+K244+K257+K277+K319+K370+K376+K401+K445+K465+K466+K590+K601+K613</f>
        <v>1770016</v>
      </c>
      <c r="L621" s="122">
        <f>L30+L39+L95+L107+L136+L149+L242+L244+L257+L277+L319+L370+L376+L401+L445+L465+L466+L590+L601+L613</f>
        <v>0</v>
      </c>
      <c r="M621" s="122">
        <f>M30+M39+M95+M107+M136+M149+M242+M244+M257+M277+M319+M370+M376+M401+M445+M465+M466+M590+M601+M613</f>
        <v>1326000</v>
      </c>
      <c r="N621" s="122">
        <f>N30+N39+N95+N107+N136+N242+N244+N257+N277+N319+N370+N376+N401+N445+N465+N466+N504+N590+N601+N613</f>
        <v>444016</v>
      </c>
      <c r="O621" s="240">
        <f t="shared" si="87"/>
        <v>0.05508103654229647</v>
      </c>
    </row>
    <row r="622" spans="1:15" ht="15.75" customHeight="1">
      <c r="A622" s="39"/>
      <c r="B622" s="530" t="s">
        <v>590</v>
      </c>
      <c r="C622" s="527"/>
      <c r="D622" s="527"/>
      <c r="E622" s="8" t="e">
        <f aca="true" t="shared" si="88" ref="E622:N622">E216</f>
        <v>#REF!</v>
      </c>
      <c r="F622" s="8" t="e">
        <f t="shared" si="88"/>
        <v>#REF!</v>
      </c>
      <c r="G622" s="8" t="e">
        <f t="shared" si="88"/>
        <v>#REF!</v>
      </c>
      <c r="H622" s="8" t="e">
        <f t="shared" si="88"/>
        <v>#REF!</v>
      </c>
      <c r="I622" s="8" t="e">
        <f t="shared" si="88"/>
        <v>#REF!</v>
      </c>
      <c r="J622" s="8" t="e">
        <f t="shared" si="88"/>
        <v>#REF!</v>
      </c>
      <c r="K622" s="8">
        <f t="shared" si="88"/>
        <v>780893</v>
      </c>
      <c r="L622" s="8">
        <f t="shared" si="88"/>
        <v>0</v>
      </c>
      <c r="M622" s="8">
        <f t="shared" si="88"/>
        <v>780893</v>
      </c>
      <c r="N622" s="8">
        <f t="shared" si="88"/>
        <v>0</v>
      </c>
      <c r="O622" s="240">
        <f t="shared" si="87"/>
        <v>0.024300568960180877</v>
      </c>
    </row>
    <row r="623" spans="1:15" ht="15.75" customHeight="1">
      <c r="A623" s="39"/>
      <c r="B623" s="528" t="s">
        <v>591</v>
      </c>
      <c r="C623" s="529"/>
      <c r="D623" s="529"/>
      <c r="E623" s="8" t="e">
        <f>E55+E56+#REF!+#REF!+#REF!+#REF!+E341+E342+#REF!+#REF!+#REF!+E318+#REF!</f>
        <v>#REF!</v>
      </c>
      <c r="F623" s="8" t="e">
        <f>F55+F56+#REF!+#REF!+#REF!+#REF!+F341+F342+#REF!+#REF!+#REF!+F318+#REF!</f>
        <v>#REF!</v>
      </c>
      <c r="G623" s="8" t="e">
        <f>G55+G56+#REF!+#REF!+#REF!+#REF!+G341+G342+#REF!+#REF!+G318+#REF!</f>
        <v>#REF!</v>
      </c>
      <c r="H623" s="8" t="e">
        <f>H55+#REF!+H341+H342+#REF!+#REF!+#REF!+H318+#REF!+#REF!+H62+H59+H404+H463+H187</f>
        <v>#REF!</v>
      </c>
      <c r="I623" s="8" t="e">
        <f>I55+#REF!+I341+I342+#REF!+#REF!+#REF!+I318+#REF!+#REF!+I62+I59+I404+I463+I187</f>
        <v>#REF!</v>
      </c>
      <c r="J623" s="8" t="e">
        <f>J55+#REF!+J341+J342+#REF!+#REF!+#REF!+J318+#REF!+#REF!+J62+J59+J404+J463+J187</f>
        <v>#REF!</v>
      </c>
      <c r="K623" s="8">
        <f>K624+K625</f>
        <v>6421012</v>
      </c>
      <c r="L623" s="8">
        <f>L624+L625</f>
        <v>0</v>
      </c>
      <c r="M623" s="8">
        <f>M624+M625</f>
        <v>6379012</v>
      </c>
      <c r="N623" s="8">
        <f>N624+N625</f>
        <v>42000</v>
      </c>
      <c r="O623" s="240">
        <f t="shared" si="87"/>
        <v>0.19981514099902156</v>
      </c>
    </row>
    <row r="624" spans="1:15" ht="15.75" customHeight="1">
      <c r="A624" s="39"/>
      <c r="B624" s="533" t="s">
        <v>5</v>
      </c>
      <c r="C624" s="534"/>
      <c r="D624" s="234"/>
      <c r="E624" s="8"/>
      <c r="F624" s="8"/>
      <c r="G624" s="8"/>
      <c r="H624" s="8"/>
      <c r="I624" s="173"/>
      <c r="J624" s="8"/>
      <c r="K624" s="8">
        <f>+K137</f>
        <v>42000</v>
      </c>
      <c r="L624" s="8">
        <f>+L137</f>
        <v>0</v>
      </c>
      <c r="M624" s="8">
        <f>+M137</f>
        <v>0</v>
      </c>
      <c r="N624" s="8">
        <f>+N137</f>
        <v>42000</v>
      </c>
      <c r="O624" s="240">
        <f t="shared" si="87"/>
        <v>0.001306995832114767</v>
      </c>
    </row>
    <row r="625" spans="1:15" ht="17.25" customHeight="1">
      <c r="A625" s="40"/>
      <c r="B625" s="527" t="s">
        <v>758</v>
      </c>
      <c r="C625" s="527"/>
      <c r="D625" s="527"/>
      <c r="E625" s="8" t="e">
        <f>E55+E56+#REF!+#REF!+#REF!+#REF!+E341+E342+#REF!+#REF!+#REF!+E318+#REF!</f>
        <v>#REF!</v>
      </c>
      <c r="F625" s="8" t="e">
        <f>F55+F56+#REF!+#REF!+#REF!+#REF!+F341+F342+#REF!+#REF!+#REF!+F318+#REF!</f>
        <v>#REF!</v>
      </c>
      <c r="G625" s="8" t="e">
        <f>G55+G56+#REF!+#REF!+#REF!+#REF!+G341+G342+#REF!+#REF!+#REF!+G318+#REF!</f>
        <v>#REF!</v>
      </c>
      <c r="H625" s="8" t="e">
        <f>H623</f>
        <v>#REF!</v>
      </c>
      <c r="I625" s="173" t="e">
        <f>I623</f>
        <v>#REF!</v>
      </c>
      <c r="J625" s="8" t="e">
        <f>J623</f>
        <v>#REF!</v>
      </c>
      <c r="K625" s="8">
        <f>K55+K56+K57+K58+K138+K256+K318+K402+K403+K404+K463+K525+K579+K580+K602</f>
        <v>6379012</v>
      </c>
      <c r="L625" s="8">
        <f>L55+L56+L57+L58+L138+L256+L318+L402+L403+L404+L463+L525+L579+L580+L602</f>
        <v>0</v>
      </c>
      <c r="M625" s="8">
        <f>M55+M56+M57+M58+M138+M256+M318+M402+M403+M404+M463+M525+M579+M580+M602</f>
        <v>6379012</v>
      </c>
      <c r="N625" s="8">
        <f>N55+N56+N57+N58+N138+N256+N318+N402+N403+N404+N463+N525+N579+N580+N602</f>
        <v>0</v>
      </c>
      <c r="O625" s="240">
        <f t="shared" si="87"/>
        <v>0.1985081451669068</v>
      </c>
    </row>
    <row r="626" spans="1:14" ht="14.25" customHeight="1">
      <c r="A626" s="484"/>
      <c r="B626" s="484"/>
      <c r="C626" s="484"/>
      <c r="D626" s="41"/>
      <c r="E626" s="41"/>
      <c r="F626" s="41"/>
      <c r="G626" s="41"/>
      <c r="H626" s="41"/>
      <c r="I626" s="41" t="s">
        <v>96</v>
      </c>
      <c r="J626" t="s">
        <v>202</v>
      </c>
      <c r="L626" s="41" t="s">
        <v>271</v>
      </c>
      <c r="M626" s="41"/>
      <c r="N626" s="197"/>
    </row>
    <row r="627" spans="1:10" ht="15.75" customHeight="1">
      <c r="A627" s="485"/>
      <c r="B627" s="485"/>
      <c r="C627" s="485"/>
      <c r="I627" t="s">
        <v>839</v>
      </c>
      <c r="J627" s="41"/>
    </row>
    <row r="628" spans="5:14" ht="12.75">
      <c r="E628" s="42"/>
      <c r="F628" s="42"/>
      <c r="G628" s="42"/>
      <c r="H628" s="42"/>
      <c r="I628" s="42"/>
      <c r="J628" s="41"/>
      <c r="K628" s="42"/>
      <c r="M628" s="509" t="s">
        <v>753</v>
      </c>
      <c r="N628" s="509"/>
    </row>
    <row r="629" ht="12.75">
      <c r="J629" s="41"/>
    </row>
    <row r="630" spans="10:14" ht="12.75">
      <c r="J630" s="41"/>
      <c r="M630" s="509" t="s">
        <v>949</v>
      </c>
      <c r="N630" s="509"/>
    </row>
  </sheetData>
  <mergeCells count="36">
    <mergeCell ref="A346:A349"/>
    <mergeCell ref="A416:A420"/>
    <mergeCell ref="B625:D625"/>
    <mergeCell ref="B619:D619"/>
    <mergeCell ref="B620:D620"/>
    <mergeCell ref="B622:D622"/>
    <mergeCell ref="B621:D621"/>
    <mergeCell ref="B618:D618"/>
    <mergeCell ref="B623:D623"/>
    <mergeCell ref="B624:C624"/>
    <mergeCell ref="B9:B10"/>
    <mergeCell ref="B31:B32"/>
    <mergeCell ref="K4:K7"/>
    <mergeCell ref="B617:C617"/>
    <mergeCell ref="I5:I7"/>
    <mergeCell ref="C4:C7"/>
    <mergeCell ref="L4:N6"/>
    <mergeCell ref="A626:C627"/>
    <mergeCell ref="B4:B7"/>
    <mergeCell ref="A4:A7"/>
    <mergeCell ref="J5:J7"/>
    <mergeCell ref="I4:J4"/>
    <mergeCell ref="H4:H7"/>
    <mergeCell ref="A13:A24"/>
    <mergeCell ref="A470:A474"/>
    <mergeCell ref="G5:G7"/>
    <mergeCell ref="M628:N628"/>
    <mergeCell ref="M630:N630"/>
    <mergeCell ref="O4:O7"/>
    <mergeCell ref="L1:N1"/>
    <mergeCell ref="O2:S2"/>
    <mergeCell ref="B2:N2"/>
    <mergeCell ref="C3:N3"/>
    <mergeCell ref="E5:E7"/>
    <mergeCell ref="D5:D7"/>
    <mergeCell ref="F5:F7"/>
  </mergeCells>
  <printOptions/>
  <pageMargins left="0.984251968503937" right="0.7874015748031497" top="0.1968503937007874" bottom="0.5905511811023623" header="0.5118110236220472" footer="0.5118110236220472"/>
  <pageSetup horizontalDpi="600" verticalDpi="600" orientation="landscape" paperSize="9" r:id="rId1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52"/>
  <sheetViews>
    <sheetView workbookViewId="0" topLeftCell="A1">
      <selection activeCell="A5" sqref="A5:G5"/>
    </sheetView>
  </sheetViews>
  <sheetFormatPr defaultColWidth="9.00390625" defaultRowHeight="12.75"/>
  <cols>
    <col min="1" max="1" width="6.375" style="0" customWidth="1"/>
    <col min="2" max="2" width="10.00390625" style="0" customWidth="1"/>
    <col min="3" max="3" width="5.875" style="0" customWidth="1"/>
    <col min="4" max="4" width="30.00390625" style="0" customWidth="1"/>
    <col min="5" max="5" width="16.625" style="0" customWidth="1"/>
    <col min="6" max="6" width="10.75390625" style="0" customWidth="1"/>
    <col min="7" max="7" width="14.75390625" style="0" customWidth="1"/>
  </cols>
  <sheetData>
    <row r="1" spans="5:7" ht="40.5" customHeight="1">
      <c r="E1" s="512" t="s">
        <v>264</v>
      </c>
      <c r="F1" s="512"/>
      <c r="G1" s="512"/>
    </row>
    <row r="2" ht="3" customHeight="1" hidden="1"/>
    <row r="3" ht="12.75" hidden="1"/>
    <row r="4" ht="12.75" hidden="1"/>
    <row r="5" spans="1:7" ht="31.5" customHeight="1">
      <c r="A5" s="548" t="s">
        <v>130</v>
      </c>
      <c r="B5" s="548"/>
      <c r="C5" s="548"/>
      <c r="D5" s="548"/>
      <c r="E5" s="548"/>
      <c r="F5" s="548"/>
      <c r="G5" s="548"/>
    </row>
    <row r="6" ht="13.5" thickBot="1"/>
    <row r="7" spans="1:7" ht="13.5" thickBot="1">
      <c r="A7" s="543" t="s">
        <v>592</v>
      </c>
      <c r="B7" s="544"/>
      <c r="C7" s="545"/>
      <c r="D7" s="539" t="s">
        <v>593</v>
      </c>
      <c r="E7" s="546" t="s">
        <v>594</v>
      </c>
      <c r="F7" s="541" t="s">
        <v>595</v>
      </c>
      <c r="G7" s="537" t="s">
        <v>596</v>
      </c>
    </row>
    <row r="8" spans="1:7" ht="90.75" customHeight="1">
      <c r="A8" s="14" t="s">
        <v>597</v>
      </c>
      <c r="B8" s="14" t="s">
        <v>598</v>
      </c>
      <c r="C8" s="43" t="s">
        <v>248</v>
      </c>
      <c r="D8" s="540"/>
      <c r="E8" s="547"/>
      <c r="F8" s="542"/>
      <c r="G8" s="538"/>
    </row>
    <row r="9" spans="1:7" ht="12.75">
      <c r="A9" s="321">
        <v>1</v>
      </c>
      <c r="B9" s="99">
        <v>2</v>
      </c>
      <c r="C9" s="99">
        <v>3</v>
      </c>
      <c r="D9" s="82">
        <v>4</v>
      </c>
      <c r="E9" s="47">
        <v>5</v>
      </c>
      <c r="F9" s="47">
        <v>6</v>
      </c>
      <c r="G9" s="47">
        <v>7</v>
      </c>
    </row>
    <row r="10" spans="1:8" ht="17.25" customHeight="1">
      <c r="A10" s="322" t="s">
        <v>599</v>
      </c>
      <c r="B10" s="322"/>
      <c r="C10" s="322"/>
      <c r="D10" s="322" t="s">
        <v>600</v>
      </c>
      <c r="E10" s="314">
        <v>0</v>
      </c>
      <c r="F10" s="314">
        <v>0</v>
      </c>
      <c r="G10" s="314">
        <f>G11+G12</f>
        <v>138608</v>
      </c>
      <c r="H10" t="s">
        <v>122</v>
      </c>
    </row>
    <row r="11" spans="1:7" ht="12.75">
      <c r="A11" s="317" t="s">
        <v>258</v>
      </c>
      <c r="B11" s="317" t="s">
        <v>955</v>
      </c>
      <c r="C11" s="317" t="s">
        <v>956</v>
      </c>
      <c r="D11" s="318" t="s">
        <v>957</v>
      </c>
      <c r="E11" s="274">
        <v>0</v>
      </c>
      <c r="F11" s="274">
        <v>0</v>
      </c>
      <c r="G11" s="274">
        <v>608</v>
      </c>
    </row>
    <row r="12" spans="1:7" ht="25.5">
      <c r="A12" s="318">
        <v>700</v>
      </c>
      <c r="B12" s="318">
        <v>70005</v>
      </c>
      <c r="C12" s="318">
        <v>2350</v>
      </c>
      <c r="D12" s="319" t="s">
        <v>328</v>
      </c>
      <c r="E12" s="274">
        <v>0</v>
      </c>
      <c r="F12" s="274">
        <v>0</v>
      </c>
      <c r="G12" s="274">
        <v>138000</v>
      </c>
    </row>
    <row r="13" spans="1:7" ht="12.75">
      <c r="A13" s="322" t="s">
        <v>602</v>
      </c>
      <c r="B13" s="535" t="s">
        <v>603</v>
      </c>
      <c r="C13" s="535"/>
      <c r="D13" s="535"/>
      <c r="E13" s="535"/>
      <c r="F13" s="535"/>
      <c r="G13" s="322"/>
    </row>
    <row r="14" spans="1:7" ht="38.25">
      <c r="A14" s="315" t="s">
        <v>258</v>
      </c>
      <c r="B14" s="315" t="s">
        <v>305</v>
      </c>
      <c r="C14" s="315" t="s">
        <v>448</v>
      </c>
      <c r="D14" s="316" t="s">
        <v>605</v>
      </c>
      <c r="E14" s="278" t="e">
        <f>#REF!</f>
        <v>#REF!</v>
      </c>
      <c r="F14" s="278">
        <f>F15</f>
        <v>30000</v>
      </c>
      <c r="G14" s="274">
        <v>0</v>
      </c>
    </row>
    <row r="15" spans="1:7" ht="12.75">
      <c r="A15" s="28"/>
      <c r="B15" s="28"/>
      <c r="C15" s="28" t="s">
        <v>297</v>
      </c>
      <c r="D15" s="11" t="s">
        <v>385</v>
      </c>
      <c r="E15" s="8">
        <v>0</v>
      </c>
      <c r="F15" s="8">
        <v>30000</v>
      </c>
      <c r="G15" s="24">
        <v>0</v>
      </c>
    </row>
    <row r="16" spans="1:7" ht="12.75" hidden="1">
      <c r="A16" s="17" t="s">
        <v>258</v>
      </c>
      <c r="B16" s="17" t="s">
        <v>261</v>
      </c>
      <c r="C16" s="17" t="s">
        <v>604</v>
      </c>
      <c r="D16" s="7" t="s">
        <v>628</v>
      </c>
      <c r="E16" s="7" t="e">
        <f>#REF!</f>
        <v>#REF!</v>
      </c>
      <c r="F16" s="7">
        <f>F17+F18+F19+F20+F22+F21+F23+F24+F25+F26+F27+F28</f>
        <v>0</v>
      </c>
      <c r="G16" s="19">
        <v>0</v>
      </c>
    </row>
    <row r="17" spans="1:7" ht="25.5" hidden="1">
      <c r="A17" s="28"/>
      <c r="B17" s="28"/>
      <c r="C17" s="28" t="s">
        <v>281</v>
      </c>
      <c r="D17" s="11" t="s">
        <v>282</v>
      </c>
      <c r="E17" s="8">
        <v>0</v>
      </c>
      <c r="F17" s="8">
        <v>0</v>
      </c>
      <c r="G17" s="24">
        <v>0</v>
      </c>
    </row>
    <row r="18" spans="1:7" ht="25.5" hidden="1">
      <c r="A18" s="28"/>
      <c r="B18" s="28"/>
      <c r="C18" s="28" t="s">
        <v>283</v>
      </c>
      <c r="D18" s="11" t="s">
        <v>284</v>
      </c>
      <c r="E18" s="8">
        <v>0</v>
      </c>
      <c r="F18" s="8">
        <v>0</v>
      </c>
      <c r="G18" s="24">
        <v>0</v>
      </c>
    </row>
    <row r="19" spans="1:7" ht="12.75" hidden="1">
      <c r="A19" s="28"/>
      <c r="B19" s="28"/>
      <c r="C19" s="28" t="s">
        <v>285</v>
      </c>
      <c r="D19" s="8" t="s">
        <v>629</v>
      </c>
      <c r="E19" s="8">
        <v>0</v>
      </c>
      <c r="F19" s="8">
        <v>0</v>
      </c>
      <c r="G19" s="24">
        <v>0</v>
      </c>
    </row>
    <row r="20" spans="1:7" ht="12.75" hidden="1">
      <c r="A20" s="28"/>
      <c r="B20" s="28"/>
      <c r="C20" s="62" t="s">
        <v>314</v>
      </c>
      <c r="D20" s="11" t="s">
        <v>630</v>
      </c>
      <c r="E20" s="8">
        <v>0</v>
      </c>
      <c r="F20" s="8">
        <v>0</v>
      </c>
      <c r="G20" s="24">
        <v>0</v>
      </c>
    </row>
    <row r="21" spans="1:7" ht="12.75" hidden="1">
      <c r="A21" s="28"/>
      <c r="B21" s="28"/>
      <c r="C21" s="62" t="s">
        <v>289</v>
      </c>
      <c r="D21" s="11" t="s">
        <v>290</v>
      </c>
      <c r="E21" s="8">
        <v>0</v>
      </c>
      <c r="F21" s="8">
        <v>0</v>
      </c>
      <c r="G21" s="24">
        <v>0</v>
      </c>
    </row>
    <row r="22" spans="1:7" ht="12.75" hidden="1">
      <c r="A22" s="28"/>
      <c r="B22" s="28"/>
      <c r="C22" s="33">
        <v>4210</v>
      </c>
      <c r="D22" s="28" t="s">
        <v>292</v>
      </c>
      <c r="E22" s="8">
        <v>0</v>
      </c>
      <c r="F22" s="8">
        <v>0</v>
      </c>
      <c r="G22" s="24">
        <v>0</v>
      </c>
    </row>
    <row r="23" spans="1:7" ht="12.75" hidden="1">
      <c r="A23" s="28"/>
      <c r="B23" s="28"/>
      <c r="C23" s="33">
        <v>4260</v>
      </c>
      <c r="D23" s="28" t="s">
        <v>383</v>
      </c>
      <c r="E23" s="8">
        <v>0</v>
      </c>
      <c r="F23" s="8">
        <v>0</v>
      </c>
      <c r="G23" s="24">
        <v>0</v>
      </c>
    </row>
    <row r="24" spans="1:7" ht="12.75" hidden="1">
      <c r="A24" s="28"/>
      <c r="B24" s="28"/>
      <c r="C24" s="33">
        <v>4270</v>
      </c>
      <c r="D24" s="28" t="s">
        <v>384</v>
      </c>
      <c r="E24" s="8">
        <v>0</v>
      </c>
      <c r="F24" s="8">
        <v>0</v>
      </c>
      <c r="G24" s="24">
        <v>0</v>
      </c>
    </row>
    <row r="25" spans="1:7" ht="12.75" hidden="1">
      <c r="A25" s="28"/>
      <c r="B25" s="28"/>
      <c r="C25" s="33">
        <v>4300</v>
      </c>
      <c r="D25" s="28" t="s">
        <v>385</v>
      </c>
      <c r="E25" s="8">
        <v>0</v>
      </c>
      <c r="F25" s="8">
        <v>0</v>
      </c>
      <c r="G25" s="24">
        <v>0</v>
      </c>
    </row>
    <row r="26" spans="1:7" ht="12.75" hidden="1">
      <c r="A26" s="28"/>
      <c r="B26" s="28"/>
      <c r="C26" s="33">
        <v>4410</v>
      </c>
      <c r="D26" s="28" t="s">
        <v>300</v>
      </c>
      <c r="E26" s="8">
        <v>0</v>
      </c>
      <c r="F26" s="8">
        <v>0</v>
      </c>
      <c r="G26" s="24">
        <v>0</v>
      </c>
    </row>
    <row r="27" spans="1:7" ht="12.75" hidden="1">
      <c r="A27" s="28"/>
      <c r="B27" s="28"/>
      <c r="C27" s="33">
        <v>4430</v>
      </c>
      <c r="D27" s="28" t="s">
        <v>302</v>
      </c>
      <c r="E27" s="8">
        <v>0</v>
      </c>
      <c r="F27" s="8">
        <v>0</v>
      </c>
      <c r="G27" s="24">
        <v>0</v>
      </c>
    </row>
    <row r="28" spans="1:7" ht="12.75" hidden="1">
      <c r="A28" s="28"/>
      <c r="B28" s="28"/>
      <c r="C28" s="33">
        <v>4440</v>
      </c>
      <c r="D28" s="28" t="s">
        <v>304</v>
      </c>
      <c r="E28" s="8">
        <v>0</v>
      </c>
      <c r="F28" s="8">
        <v>0</v>
      </c>
      <c r="G28" s="24">
        <v>0</v>
      </c>
    </row>
    <row r="29" spans="1:7" ht="15.75" customHeight="1" hidden="1">
      <c r="A29" s="17" t="s">
        <v>306</v>
      </c>
      <c r="B29" s="17" t="s">
        <v>308</v>
      </c>
      <c r="C29" s="17" t="s">
        <v>604</v>
      </c>
      <c r="D29" s="7" t="s">
        <v>309</v>
      </c>
      <c r="E29" s="7">
        <v>0</v>
      </c>
      <c r="F29" s="7">
        <f>F30</f>
        <v>0</v>
      </c>
      <c r="G29" s="19">
        <v>0</v>
      </c>
    </row>
    <row r="30" spans="1:7" ht="15" customHeight="1" hidden="1">
      <c r="A30" s="28"/>
      <c r="B30" s="28"/>
      <c r="C30" s="28"/>
      <c r="D30" s="8" t="s">
        <v>422</v>
      </c>
      <c r="E30" s="8"/>
      <c r="F30" s="8">
        <v>0</v>
      </c>
      <c r="G30" s="24">
        <v>0</v>
      </c>
    </row>
    <row r="31" spans="1:7" ht="25.5">
      <c r="A31" s="315" t="s">
        <v>325</v>
      </c>
      <c r="B31" s="315" t="s">
        <v>327</v>
      </c>
      <c r="C31" s="315" t="s">
        <v>448</v>
      </c>
      <c r="D31" s="316" t="s">
        <v>328</v>
      </c>
      <c r="E31" s="278" t="e">
        <f>#REF!</f>
        <v>#REF!</v>
      </c>
      <c r="F31" s="278">
        <f>F32+F33+F34+F35+F37+F38+F36</f>
        <v>62000</v>
      </c>
      <c r="G31" s="278">
        <v>0</v>
      </c>
    </row>
    <row r="32" spans="1:7" ht="12.75">
      <c r="A32" s="17"/>
      <c r="B32" s="17"/>
      <c r="C32" s="30" t="s">
        <v>37</v>
      </c>
      <c r="D32" s="29" t="s">
        <v>52</v>
      </c>
      <c r="E32" s="20">
        <v>0</v>
      </c>
      <c r="F32" s="20">
        <v>800</v>
      </c>
      <c r="G32" s="7">
        <v>0</v>
      </c>
    </row>
    <row r="33" spans="1:7" ht="12.75">
      <c r="A33" s="30"/>
      <c r="B33" s="30"/>
      <c r="C33" s="30" t="s">
        <v>293</v>
      </c>
      <c r="D33" s="29" t="s">
        <v>383</v>
      </c>
      <c r="E33" s="20">
        <v>0</v>
      </c>
      <c r="F33" s="20">
        <f>'Z 2'!L66</f>
        <v>3930</v>
      </c>
      <c r="G33" s="20">
        <v>0</v>
      </c>
    </row>
    <row r="34" spans="1:7" ht="12.75">
      <c r="A34" s="17"/>
      <c r="B34" s="17"/>
      <c r="C34" s="30" t="s">
        <v>297</v>
      </c>
      <c r="D34" s="29" t="s">
        <v>385</v>
      </c>
      <c r="E34" s="20">
        <v>0</v>
      </c>
      <c r="F34" s="20">
        <f>'Z 2'!L68</f>
        <v>42670</v>
      </c>
      <c r="G34" s="21">
        <v>0</v>
      </c>
    </row>
    <row r="35" spans="1:7" ht="12.75">
      <c r="A35" s="17"/>
      <c r="B35" s="17"/>
      <c r="C35" s="30" t="s">
        <v>319</v>
      </c>
      <c r="D35" s="29" t="s">
        <v>320</v>
      </c>
      <c r="E35" s="20">
        <v>0</v>
      </c>
      <c r="F35" s="20">
        <v>9600</v>
      </c>
      <c r="G35" s="21">
        <v>0</v>
      </c>
    </row>
    <row r="36" spans="1:7" ht="12.75">
      <c r="A36" s="17"/>
      <c r="B36" s="17"/>
      <c r="C36" s="30" t="s">
        <v>361</v>
      </c>
      <c r="D36" s="29" t="s">
        <v>368</v>
      </c>
      <c r="E36" s="20">
        <v>0</v>
      </c>
      <c r="F36" s="20">
        <v>5000</v>
      </c>
      <c r="G36" s="21">
        <v>0</v>
      </c>
    </row>
    <row r="37" spans="1:7" ht="12.75" hidden="1">
      <c r="A37" s="17"/>
      <c r="B37" s="17"/>
      <c r="C37" s="30" t="s">
        <v>184</v>
      </c>
      <c r="D37" s="29" t="s">
        <v>858</v>
      </c>
      <c r="E37" s="20">
        <v>0</v>
      </c>
      <c r="F37" s="20">
        <v>0</v>
      </c>
      <c r="G37" s="21">
        <v>0</v>
      </c>
    </row>
    <row r="38" spans="1:7" ht="12.75" hidden="1">
      <c r="A38" s="17"/>
      <c r="B38" s="17"/>
      <c r="C38" s="30" t="s">
        <v>518</v>
      </c>
      <c r="D38" s="29" t="s">
        <v>185</v>
      </c>
      <c r="E38" s="20">
        <v>0</v>
      </c>
      <c r="F38" s="20">
        <v>0</v>
      </c>
      <c r="G38" s="21">
        <v>0</v>
      </c>
    </row>
    <row r="39" spans="1:7" ht="38.25">
      <c r="A39" s="315" t="s">
        <v>330</v>
      </c>
      <c r="B39" s="315" t="s">
        <v>332</v>
      </c>
      <c r="C39" s="315" t="s">
        <v>448</v>
      </c>
      <c r="D39" s="316" t="s">
        <v>333</v>
      </c>
      <c r="E39" s="278" t="e">
        <f>#REF!</f>
        <v>#REF!</v>
      </c>
      <c r="F39" s="278">
        <f>F40</f>
        <v>40000</v>
      </c>
      <c r="G39" s="274">
        <v>0</v>
      </c>
    </row>
    <row r="40" spans="1:7" ht="12.75">
      <c r="A40" s="17"/>
      <c r="B40" s="17"/>
      <c r="C40" s="30" t="s">
        <v>297</v>
      </c>
      <c r="D40" s="29" t="s">
        <v>385</v>
      </c>
      <c r="E40" s="20">
        <v>0</v>
      </c>
      <c r="F40" s="20">
        <f>'Z 2'!L77</f>
        <v>40000</v>
      </c>
      <c r="G40" s="19">
        <v>0</v>
      </c>
    </row>
    <row r="41" spans="1:7" ht="25.5">
      <c r="A41" s="315" t="s">
        <v>330</v>
      </c>
      <c r="B41" s="315" t="s">
        <v>334</v>
      </c>
      <c r="C41" s="315" t="s">
        <v>448</v>
      </c>
      <c r="D41" s="316" t="s">
        <v>335</v>
      </c>
      <c r="E41" s="278" t="e">
        <f>#REF!</f>
        <v>#REF!</v>
      </c>
      <c r="F41" s="278">
        <f>F42</f>
        <v>22000</v>
      </c>
      <c r="G41" s="274">
        <v>0</v>
      </c>
    </row>
    <row r="42" spans="1:7" ht="12.75">
      <c r="A42" s="30"/>
      <c r="B42" s="30"/>
      <c r="C42" s="30" t="s">
        <v>297</v>
      </c>
      <c r="D42" s="29" t="s">
        <v>385</v>
      </c>
      <c r="E42" s="20">
        <v>0</v>
      </c>
      <c r="F42" s="20">
        <f>'Z 2'!L79</f>
        <v>22000</v>
      </c>
      <c r="G42" s="21">
        <v>0</v>
      </c>
    </row>
    <row r="43" spans="1:7" ht="12.75">
      <c r="A43" s="315" t="s">
        <v>330</v>
      </c>
      <c r="B43" s="315" t="s">
        <v>336</v>
      </c>
      <c r="C43" s="315" t="s">
        <v>448</v>
      </c>
      <c r="D43" s="278" t="s">
        <v>337</v>
      </c>
      <c r="E43" s="278" t="e">
        <f>#REF!</f>
        <v>#REF!</v>
      </c>
      <c r="F43" s="278">
        <f>F44+F46+F47+F49+F48+F50+F51+F52+F53+F54+F45</f>
        <v>181547</v>
      </c>
      <c r="G43" s="274">
        <v>0</v>
      </c>
    </row>
    <row r="44" spans="1:7" ht="25.5">
      <c r="A44" s="28"/>
      <c r="B44" s="17"/>
      <c r="C44" s="30" t="s">
        <v>281</v>
      </c>
      <c r="D44" s="29" t="s">
        <v>282</v>
      </c>
      <c r="E44" s="20">
        <v>0</v>
      </c>
      <c r="F44" s="20">
        <f>'Z 2'!L81</f>
        <v>49200</v>
      </c>
      <c r="G44" s="21">
        <v>0</v>
      </c>
    </row>
    <row r="45" spans="1:7" ht="25.5">
      <c r="A45" s="28"/>
      <c r="B45" s="17"/>
      <c r="C45" s="30" t="s">
        <v>283</v>
      </c>
      <c r="D45" s="11" t="s">
        <v>284</v>
      </c>
      <c r="E45" s="20">
        <v>0</v>
      </c>
      <c r="F45" s="20">
        <f>'Z 2'!L82</f>
        <v>78200</v>
      </c>
      <c r="G45" s="21">
        <v>0</v>
      </c>
    </row>
    <row r="46" spans="1:7" ht="12.75">
      <c r="A46" s="28"/>
      <c r="B46" s="17"/>
      <c r="C46" s="30" t="s">
        <v>285</v>
      </c>
      <c r="D46" s="20" t="s">
        <v>629</v>
      </c>
      <c r="E46" s="20">
        <v>0</v>
      </c>
      <c r="F46" s="20">
        <f>'Z 2'!L83</f>
        <v>8864</v>
      </c>
      <c r="G46" s="21">
        <v>0</v>
      </c>
    </row>
    <row r="47" spans="1:7" ht="12.75">
      <c r="A47" s="28"/>
      <c r="B47" s="17"/>
      <c r="C47" s="191" t="s">
        <v>314</v>
      </c>
      <c r="D47" s="29" t="s">
        <v>355</v>
      </c>
      <c r="E47" s="20">
        <v>0</v>
      </c>
      <c r="F47" s="20">
        <f>'Z 2'!L84</f>
        <v>24786</v>
      </c>
      <c r="G47" s="21">
        <v>0</v>
      </c>
    </row>
    <row r="48" spans="1:7" ht="13.5" customHeight="1">
      <c r="A48" s="28"/>
      <c r="B48" s="17"/>
      <c r="C48" s="191" t="s">
        <v>289</v>
      </c>
      <c r="D48" s="29" t="s">
        <v>290</v>
      </c>
      <c r="E48" s="20">
        <v>0</v>
      </c>
      <c r="F48" s="20">
        <f>'Z 2'!L85</f>
        <v>3338</v>
      </c>
      <c r="G48" s="21">
        <v>0</v>
      </c>
    </row>
    <row r="49" spans="1:7" ht="15" customHeight="1">
      <c r="A49" s="28"/>
      <c r="B49" s="17"/>
      <c r="C49" s="30" t="s">
        <v>291</v>
      </c>
      <c r="D49" s="20" t="s">
        <v>292</v>
      </c>
      <c r="E49" s="20">
        <v>0</v>
      </c>
      <c r="F49" s="20">
        <f>'Z 2'!L87</f>
        <v>3000</v>
      </c>
      <c r="G49" s="21">
        <v>0</v>
      </c>
    </row>
    <row r="50" spans="1:7" ht="15" customHeight="1">
      <c r="A50" s="28"/>
      <c r="B50" s="17"/>
      <c r="C50" s="30" t="s">
        <v>293</v>
      </c>
      <c r="D50" s="29" t="s">
        <v>383</v>
      </c>
      <c r="E50" s="20">
        <v>0</v>
      </c>
      <c r="F50" s="20">
        <v>4700</v>
      </c>
      <c r="G50" s="21">
        <v>0</v>
      </c>
    </row>
    <row r="51" spans="1:7" ht="15" customHeight="1">
      <c r="A51" s="28"/>
      <c r="B51" s="17"/>
      <c r="C51" s="30" t="s">
        <v>297</v>
      </c>
      <c r="D51" s="20" t="s">
        <v>385</v>
      </c>
      <c r="E51" s="20">
        <v>0</v>
      </c>
      <c r="F51" s="20">
        <f>'Z 2'!L89</f>
        <v>4125</v>
      </c>
      <c r="G51" s="21">
        <v>0</v>
      </c>
    </row>
    <row r="52" spans="1:7" ht="15" customHeight="1">
      <c r="A52" s="28"/>
      <c r="B52" s="17"/>
      <c r="C52" s="30" t="s">
        <v>299</v>
      </c>
      <c r="D52" s="20" t="s">
        <v>300</v>
      </c>
      <c r="E52" s="20">
        <v>0</v>
      </c>
      <c r="F52" s="20">
        <f>'Z 2'!L90</f>
        <v>500</v>
      </c>
      <c r="G52" s="21">
        <v>0</v>
      </c>
    </row>
    <row r="53" spans="1:7" ht="15" customHeight="1">
      <c r="A53" s="28"/>
      <c r="B53" s="17"/>
      <c r="C53" s="30" t="s">
        <v>301</v>
      </c>
      <c r="D53" s="20" t="s">
        <v>449</v>
      </c>
      <c r="E53" s="20">
        <v>0</v>
      </c>
      <c r="F53" s="20">
        <v>2200</v>
      </c>
      <c r="G53" s="21">
        <v>0</v>
      </c>
    </row>
    <row r="54" spans="1:7" ht="15" customHeight="1">
      <c r="A54" s="28"/>
      <c r="B54" s="17"/>
      <c r="C54" s="30" t="s">
        <v>303</v>
      </c>
      <c r="D54" s="20" t="s">
        <v>304</v>
      </c>
      <c r="E54" s="20">
        <v>0</v>
      </c>
      <c r="F54" s="20">
        <f>'Z 2'!L92</f>
        <v>2634</v>
      </c>
      <c r="G54" s="21">
        <v>0</v>
      </c>
    </row>
    <row r="55" spans="1:7" ht="12.75">
      <c r="A55" s="315" t="s">
        <v>339</v>
      </c>
      <c r="B55" s="315" t="s">
        <v>341</v>
      </c>
      <c r="C55" s="315" t="s">
        <v>448</v>
      </c>
      <c r="D55" s="278" t="s">
        <v>342</v>
      </c>
      <c r="E55" s="278" t="e">
        <f>#REF!</f>
        <v>#REF!</v>
      </c>
      <c r="F55" s="278">
        <f>F56+F57+F58+F59+F60+F61+F62+F63+F64</f>
        <v>102748</v>
      </c>
      <c r="G55" s="274">
        <v>0</v>
      </c>
    </row>
    <row r="56" spans="1:7" ht="25.5">
      <c r="A56" s="28"/>
      <c r="B56" s="17"/>
      <c r="C56" s="30" t="s">
        <v>281</v>
      </c>
      <c r="D56" s="29" t="s">
        <v>282</v>
      </c>
      <c r="E56" s="20">
        <v>0</v>
      </c>
      <c r="F56" s="20">
        <f>'Z 2'!L96</f>
        <v>70400</v>
      </c>
      <c r="G56" s="21">
        <v>0</v>
      </c>
    </row>
    <row r="57" spans="1:7" ht="12.75">
      <c r="A57" s="28"/>
      <c r="B57" s="17"/>
      <c r="C57" s="30" t="s">
        <v>285</v>
      </c>
      <c r="D57" s="20" t="s">
        <v>629</v>
      </c>
      <c r="E57" s="20">
        <v>0</v>
      </c>
      <c r="F57" s="20">
        <f>'Z 2'!L97</f>
        <v>4712</v>
      </c>
      <c r="G57" s="21">
        <v>0</v>
      </c>
    </row>
    <row r="58" spans="1:7" ht="12.75">
      <c r="A58" s="28"/>
      <c r="B58" s="17"/>
      <c r="C58" s="191" t="s">
        <v>314</v>
      </c>
      <c r="D58" s="29" t="s">
        <v>355</v>
      </c>
      <c r="E58" s="20">
        <v>0</v>
      </c>
      <c r="F58" s="20">
        <f>'Z 2'!L98</f>
        <v>12942</v>
      </c>
      <c r="G58" s="21">
        <v>0</v>
      </c>
    </row>
    <row r="59" spans="1:7" ht="12.75">
      <c r="A59" s="28"/>
      <c r="B59" s="17"/>
      <c r="C59" s="191" t="s">
        <v>289</v>
      </c>
      <c r="D59" s="29" t="s">
        <v>290</v>
      </c>
      <c r="E59" s="20">
        <v>0</v>
      </c>
      <c r="F59" s="20">
        <f>'Z 2'!L99</f>
        <v>1840</v>
      </c>
      <c r="G59" s="21">
        <v>0</v>
      </c>
    </row>
    <row r="60" spans="1:7" ht="12.75">
      <c r="A60" s="28"/>
      <c r="B60" s="17"/>
      <c r="C60" s="191" t="s">
        <v>37</v>
      </c>
      <c r="D60" s="29" t="s">
        <v>52</v>
      </c>
      <c r="E60" s="20">
        <v>0</v>
      </c>
      <c r="F60" s="20">
        <v>7160</v>
      </c>
      <c r="G60" s="21">
        <v>0</v>
      </c>
    </row>
    <row r="61" spans="1:7" ht="12.75">
      <c r="A61" s="28"/>
      <c r="B61" s="17"/>
      <c r="C61" s="30" t="s">
        <v>291</v>
      </c>
      <c r="D61" s="20" t="s">
        <v>292</v>
      </c>
      <c r="E61" s="20">
        <v>0</v>
      </c>
      <c r="F61" s="20">
        <v>1060</v>
      </c>
      <c r="G61" s="21">
        <v>0</v>
      </c>
    </row>
    <row r="62" spans="1:7" ht="12.75">
      <c r="A62" s="28"/>
      <c r="B62" s="17"/>
      <c r="C62" s="30" t="s">
        <v>297</v>
      </c>
      <c r="D62" s="20" t="s">
        <v>385</v>
      </c>
      <c r="E62" s="20">
        <v>0</v>
      </c>
      <c r="F62" s="20">
        <v>1400</v>
      </c>
      <c r="G62" s="21">
        <v>0</v>
      </c>
    </row>
    <row r="63" spans="1:7" ht="12.75">
      <c r="A63" s="28"/>
      <c r="B63" s="17"/>
      <c r="C63" s="30" t="s">
        <v>299</v>
      </c>
      <c r="D63" s="20" t="s">
        <v>300</v>
      </c>
      <c r="E63" s="20">
        <v>0</v>
      </c>
      <c r="F63" s="20">
        <v>600</v>
      </c>
      <c r="G63" s="21">
        <v>0</v>
      </c>
    </row>
    <row r="64" spans="1:7" ht="12.75">
      <c r="A64" s="28"/>
      <c r="B64" s="17"/>
      <c r="C64" s="30" t="s">
        <v>303</v>
      </c>
      <c r="D64" s="20" t="s">
        <v>304</v>
      </c>
      <c r="E64" s="20">
        <v>0</v>
      </c>
      <c r="F64" s="20">
        <v>2634</v>
      </c>
      <c r="G64" s="21">
        <v>0</v>
      </c>
    </row>
    <row r="65" spans="1:7" ht="15.75" customHeight="1">
      <c r="A65" s="315" t="s">
        <v>339</v>
      </c>
      <c r="B65" s="315" t="s">
        <v>353</v>
      </c>
      <c r="C65" s="315" t="s">
        <v>448</v>
      </c>
      <c r="D65" s="278" t="s">
        <v>354</v>
      </c>
      <c r="E65" s="278" t="e">
        <f>#REF!</f>
        <v>#REF!</v>
      </c>
      <c r="F65" s="278">
        <f>F66+F67+F68+F69+F70+F71+F72</f>
        <v>13000</v>
      </c>
      <c r="G65" s="274">
        <v>0</v>
      </c>
    </row>
    <row r="66" spans="1:7" ht="15.75" customHeight="1">
      <c r="A66" s="17"/>
      <c r="B66" s="17"/>
      <c r="C66" s="30" t="s">
        <v>279</v>
      </c>
      <c r="D66" s="20" t="s">
        <v>649</v>
      </c>
      <c r="E66" s="20">
        <v>0</v>
      </c>
      <c r="F66" s="20">
        <f>'Z 2'!L140</f>
        <v>6300</v>
      </c>
      <c r="G66" s="21">
        <v>0</v>
      </c>
    </row>
    <row r="67" spans="1:7" ht="15.75" customHeight="1">
      <c r="A67" s="17"/>
      <c r="B67" s="17"/>
      <c r="C67" s="30" t="s">
        <v>314</v>
      </c>
      <c r="D67" s="20" t="s">
        <v>355</v>
      </c>
      <c r="E67" s="20">
        <v>0</v>
      </c>
      <c r="F67" s="20">
        <f>'Z 2'!L141</f>
        <v>560</v>
      </c>
      <c r="G67" s="21">
        <v>0</v>
      </c>
    </row>
    <row r="68" spans="1:7" ht="15.75" customHeight="1">
      <c r="A68" s="17"/>
      <c r="B68" s="17"/>
      <c r="C68" s="30" t="s">
        <v>289</v>
      </c>
      <c r="D68" s="20" t="s">
        <v>290</v>
      </c>
      <c r="E68" s="20">
        <v>0</v>
      </c>
      <c r="F68" s="20">
        <f>'Z 2'!L142</f>
        <v>80</v>
      </c>
      <c r="G68" s="21">
        <v>0</v>
      </c>
    </row>
    <row r="69" spans="1:7" ht="15.75" customHeight="1">
      <c r="A69" s="17"/>
      <c r="B69" s="17"/>
      <c r="C69" s="30" t="s">
        <v>37</v>
      </c>
      <c r="D69" s="20" t="s">
        <v>52</v>
      </c>
      <c r="E69" s="20">
        <v>0</v>
      </c>
      <c r="F69" s="20">
        <v>4150</v>
      </c>
      <c r="G69" s="21">
        <v>0</v>
      </c>
    </row>
    <row r="70" spans="1:7" ht="15.75" customHeight="1">
      <c r="A70" s="17"/>
      <c r="B70" s="17"/>
      <c r="C70" s="30" t="s">
        <v>291</v>
      </c>
      <c r="D70" s="20" t="s">
        <v>292</v>
      </c>
      <c r="E70" s="20">
        <v>0</v>
      </c>
      <c r="F70" s="20">
        <f>'Z 2'!L145</f>
        <v>810</v>
      </c>
      <c r="G70" s="21">
        <v>0</v>
      </c>
    </row>
    <row r="71" spans="1:7" ht="15.75" customHeight="1">
      <c r="A71" s="17"/>
      <c r="B71" s="17"/>
      <c r="C71" s="30" t="s">
        <v>297</v>
      </c>
      <c r="D71" s="20" t="s">
        <v>385</v>
      </c>
      <c r="E71" s="20">
        <v>0</v>
      </c>
      <c r="F71" s="20">
        <f>'Z 2'!L146</f>
        <v>850</v>
      </c>
      <c r="G71" s="21">
        <v>0</v>
      </c>
    </row>
    <row r="72" spans="1:7" ht="15.75" customHeight="1">
      <c r="A72" s="17"/>
      <c r="B72" s="17"/>
      <c r="C72" s="30" t="s">
        <v>299</v>
      </c>
      <c r="D72" s="20" t="s">
        <v>300</v>
      </c>
      <c r="E72" s="20">
        <v>0</v>
      </c>
      <c r="F72" s="20">
        <f>'Z 2'!L147</f>
        <v>250</v>
      </c>
      <c r="G72" s="21">
        <v>0</v>
      </c>
    </row>
    <row r="73" spans="1:7" ht="12.75" hidden="1">
      <c r="A73" s="17" t="s">
        <v>358</v>
      </c>
      <c r="B73" s="17" t="s">
        <v>360</v>
      </c>
      <c r="C73" s="17" t="s">
        <v>604</v>
      </c>
      <c r="D73" s="7" t="s">
        <v>369</v>
      </c>
      <c r="E73" s="7">
        <v>0</v>
      </c>
      <c r="F73" s="7">
        <f>F76+F78+F79+F80+F81+F83+F84+F85+F77+F86+F87+F88+F89+F90+F91+F92+F93+F74+F75+F82</f>
        <v>0</v>
      </c>
      <c r="G73" s="19">
        <v>0</v>
      </c>
    </row>
    <row r="74" spans="1:7" ht="12.75" hidden="1">
      <c r="A74" s="17"/>
      <c r="B74" s="17"/>
      <c r="C74" s="30" t="s">
        <v>269</v>
      </c>
      <c r="D74" s="20" t="s">
        <v>650</v>
      </c>
      <c r="E74" s="20">
        <v>0</v>
      </c>
      <c r="F74" s="20">
        <v>0</v>
      </c>
      <c r="G74" s="21">
        <v>0</v>
      </c>
    </row>
    <row r="75" spans="1:7" ht="12.75" hidden="1">
      <c r="A75" s="17"/>
      <c r="B75" s="17"/>
      <c r="C75" s="30" t="s">
        <v>279</v>
      </c>
      <c r="D75" s="20" t="s">
        <v>649</v>
      </c>
      <c r="E75" s="20">
        <v>0</v>
      </c>
      <c r="F75" s="20">
        <v>0</v>
      </c>
      <c r="G75" s="21">
        <v>0</v>
      </c>
    </row>
    <row r="76" spans="1:7" ht="25.5" hidden="1">
      <c r="A76" s="28"/>
      <c r="B76" s="28"/>
      <c r="C76" s="28" t="s">
        <v>281</v>
      </c>
      <c r="D76" s="11" t="s">
        <v>282</v>
      </c>
      <c r="E76" s="8">
        <v>0</v>
      </c>
      <c r="F76" s="8">
        <v>0</v>
      </c>
      <c r="G76" s="24">
        <v>0</v>
      </c>
    </row>
    <row r="77" spans="1:7" ht="25.5" hidden="1">
      <c r="A77" s="28"/>
      <c r="B77" s="28"/>
      <c r="C77" s="28" t="s">
        <v>283</v>
      </c>
      <c r="D77" s="11" t="s">
        <v>370</v>
      </c>
      <c r="E77" s="8">
        <v>0</v>
      </c>
      <c r="F77" s="8">
        <v>0</v>
      </c>
      <c r="G77" s="24">
        <v>0</v>
      </c>
    </row>
    <row r="78" spans="1:7" ht="12.75" hidden="1">
      <c r="A78" s="28"/>
      <c r="B78" s="28"/>
      <c r="C78" s="28" t="s">
        <v>285</v>
      </c>
      <c r="D78" s="11" t="s">
        <v>651</v>
      </c>
      <c r="E78" s="8">
        <v>0</v>
      </c>
      <c r="F78" s="8">
        <v>0</v>
      </c>
      <c r="G78" s="24">
        <v>0</v>
      </c>
    </row>
    <row r="79" spans="1:7" ht="25.5" hidden="1">
      <c r="A79" s="28"/>
      <c r="B79" s="28"/>
      <c r="C79" s="28" t="s">
        <v>371</v>
      </c>
      <c r="D79" s="11" t="s">
        <v>652</v>
      </c>
      <c r="E79" s="8">
        <v>0</v>
      </c>
      <c r="F79" s="8">
        <v>0</v>
      </c>
      <c r="G79" s="24">
        <v>0</v>
      </c>
    </row>
    <row r="80" spans="1:7" ht="12.75" hidden="1">
      <c r="A80" s="28"/>
      <c r="B80" s="28"/>
      <c r="C80" s="28" t="s">
        <v>373</v>
      </c>
      <c r="D80" s="8" t="s">
        <v>653</v>
      </c>
      <c r="E80" s="8">
        <v>0</v>
      </c>
      <c r="F80" s="8">
        <v>0</v>
      </c>
      <c r="G80" s="24">
        <v>0</v>
      </c>
    </row>
    <row r="81" spans="1:7" ht="12.75" hidden="1">
      <c r="A81" s="28"/>
      <c r="B81" s="28"/>
      <c r="C81" s="28" t="s">
        <v>375</v>
      </c>
      <c r="D81" s="8" t="s">
        <v>376</v>
      </c>
      <c r="E81" s="8">
        <v>0</v>
      </c>
      <c r="F81" s="8">
        <v>0</v>
      </c>
      <c r="G81" s="24">
        <v>0</v>
      </c>
    </row>
    <row r="82" spans="1:7" ht="38.25" hidden="1">
      <c r="A82" s="28"/>
      <c r="B82" s="28"/>
      <c r="C82" s="28" t="s">
        <v>377</v>
      </c>
      <c r="D82" s="11" t="s">
        <v>658</v>
      </c>
      <c r="E82" s="8">
        <v>0</v>
      </c>
      <c r="F82" s="8">
        <v>0</v>
      </c>
      <c r="G82" s="24"/>
    </row>
    <row r="83" spans="1:7" ht="12.75" hidden="1">
      <c r="A83" s="28"/>
      <c r="B83" s="28"/>
      <c r="C83" s="28" t="s">
        <v>314</v>
      </c>
      <c r="D83" s="11" t="s">
        <v>654</v>
      </c>
      <c r="E83" s="8">
        <v>0</v>
      </c>
      <c r="F83" s="8">
        <v>0</v>
      </c>
      <c r="G83" s="24">
        <v>0</v>
      </c>
    </row>
    <row r="84" spans="1:7" ht="18" customHeight="1" hidden="1">
      <c r="A84" s="28"/>
      <c r="B84" s="28"/>
      <c r="C84" s="62" t="s">
        <v>289</v>
      </c>
      <c r="D84" s="11" t="s">
        <v>290</v>
      </c>
      <c r="E84" s="8">
        <v>0</v>
      </c>
      <c r="F84" s="8">
        <v>0</v>
      </c>
      <c r="G84" s="24">
        <v>0</v>
      </c>
    </row>
    <row r="85" spans="1:7" ht="12.75" hidden="1">
      <c r="A85" s="28"/>
      <c r="B85" s="28"/>
      <c r="C85" s="28" t="s">
        <v>291</v>
      </c>
      <c r="D85" s="8" t="s">
        <v>292</v>
      </c>
      <c r="E85" s="8">
        <v>0</v>
      </c>
      <c r="F85" s="8">
        <v>0</v>
      </c>
      <c r="G85" s="24">
        <v>0</v>
      </c>
    </row>
    <row r="86" spans="1:7" ht="12.75" hidden="1">
      <c r="A86" s="28"/>
      <c r="B86" s="28"/>
      <c r="C86" s="28" t="s">
        <v>379</v>
      </c>
      <c r="D86" s="8" t="s">
        <v>655</v>
      </c>
      <c r="E86" s="8">
        <v>0</v>
      </c>
      <c r="F86" s="8">
        <v>0</v>
      </c>
      <c r="G86" s="24">
        <v>0</v>
      </c>
    </row>
    <row r="87" spans="1:7" ht="12.75" hidden="1">
      <c r="A87" s="28"/>
      <c r="B87" s="28"/>
      <c r="C87" s="28" t="s">
        <v>381</v>
      </c>
      <c r="D87" s="8" t="s">
        <v>382</v>
      </c>
      <c r="E87" s="8">
        <v>0</v>
      </c>
      <c r="F87" s="8">
        <v>0</v>
      </c>
      <c r="G87" s="24">
        <v>0</v>
      </c>
    </row>
    <row r="88" spans="1:7" ht="12.75" hidden="1">
      <c r="A88" s="28"/>
      <c r="B88" s="28"/>
      <c r="C88" s="28" t="s">
        <v>293</v>
      </c>
      <c r="D88" s="8" t="s">
        <v>383</v>
      </c>
      <c r="E88" s="8">
        <v>0</v>
      </c>
      <c r="F88" s="8">
        <v>0</v>
      </c>
      <c r="G88" s="24">
        <v>0</v>
      </c>
    </row>
    <row r="89" spans="1:7" ht="12.75" hidden="1">
      <c r="A89" s="28"/>
      <c r="B89" s="28"/>
      <c r="C89" s="28" t="s">
        <v>295</v>
      </c>
      <c r="D89" s="8" t="s">
        <v>384</v>
      </c>
      <c r="E89" s="8">
        <v>0</v>
      </c>
      <c r="F89" s="8">
        <v>0</v>
      </c>
      <c r="G89" s="24">
        <v>0</v>
      </c>
    </row>
    <row r="90" spans="1:7" ht="12.75" hidden="1">
      <c r="A90" s="28"/>
      <c r="B90" s="28"/>
      <c r="C90" s="28" t="s">
        <v>297</v>
      </c>
      <c r="D90" s="8" t="s">
        <v>385</v>
      </c>
      <c r="E90" s="8">
        <v>0</v>
      </c>
      <c r="F90" s="8">
        <v>0</v>
      </c>
      <c r="G90" s="24">
        <v>0</v>
      </c>
    </row>
    <row r="91" spans="1:7" ht="12.75" hidden="1">
      <c r="A91" s="28"/>
      <c r="B91" s="28"/>
      <c r="C91" s="28" t="s">
        <v>299</v>
      </c>
      <c r="D91" s="8" t="s">
        <v>300</v>
      </c>
      <c r="E91" s="8">
        <v>0</v>
      </c>
      <c r="F91" s="8">
        <v>0</v>
      </c>
      <c r="G91" s="24">
        <v>0</v>
      </c>
    </row>
    <row r="92" spans="1:7" ht="12.75" hidden="1">
      <c r="A92" s="28"/>
      <c r="B92" s="28"/>
      <c r="C92" s="28" t="s">
        <v>303</v>
      </c>
      <c r="D92" s="8" t="s">
        <v>304</v>
      </c>
      <c r="E92" s="8">
        <v>0</v>
      </c>
      <c r="F92" s="8">
        <v>0</v>
      </c>
      <c r="G92" s="24">
        <v>0</v>
      </c>
    </row>
    <row r="93" spans="1:7" ht="12.75" hidden="1">
      <c r="A93" s="28"/>
      <c r="B93" s="28"/>
      <c r="C93" s="28" t="s">
        <v>319</v>
      </c>
      <c r="D93" s="8" t="s">
        <v>320</v>
      </c>
      <c r="E93" s="8">
        <v>0</v>
      </c>
      <c r="F93" s="8">
        <v>0</v>
      </c>
      <c r="G93" s="24">
        <v>0</v>
      </c>
    </row>
    <row r="94" spans="1:7" ht="24.75" customHeight="1">
      <c r="A94" s="315" t="s">
        <v>358</v>
      </c>
      <c r="B94" s="315" t="s">
        <v>386</v>
      </c>
      <c r="C94" s="315" t="s">
        <v>448</v>
      </c>
      <c r="D94" s="316" t="s">
        <v>656</v>
      </c>
      <c r="E94" s="278" t="e">
        <f>#REF!</f>
        <v>#REF!</v>
      </c>
      <c r="F94" s="278">
        <f>F95+F96+F97+F98+F99+F100+F101+F103+F102+F110+F112+F113+F114+F116+F117+F118+F119+F120+F121+F122+F111+F115</f>
        <v>2306000</v>
      </c>
      <c r="G94" s="274">
        <v>0</v>
      </c>
    </row>
    <row r="95" spans="1:7" ht="24.75" customHeight="1">
      <c r="A95" s="17"/>
      <c r="B95" s="30"/>
      <c r="C95" s="30" t="s">
        <v>283</v>
      </c>
      <c r="D95" s="29" t="s">
        <v>657</v>
      </c>
      <c r="E95" s="20">
        <v>0</v>
      </c>
      <c r="F95" s="20">
        <f>'Z 2'!L190</f>
        <v>19000</v>
      </c>
      <c r="G95" s="21">
        <v>0</v>
      </c>
    </row>
    <row r="96" spans="1:7" ht="24.75" customHeight="1">
      <c r="A96" s="17"/>
      <c r="B96" s="30"/>
      <c r="C96" s="30" t="s">
        <v>285</v>
      </c>
      <c r="D96" s="29" t="s">
        <v>651</v>
      </c>
      <c r="E96" s="20">
        <v>0</v>
      </c>
      <c r="F96" s="20">
        <f>'Z 2'!L191</f>
        <v>2000</v>
      </c>
      <c r="G96" s="21">
        <v>0</v>
      </c>
    </row>
    <row r="97" spans="1:7" ht="24.75" customHeight="1">
      <c r="A97" s="17"/>
      <c r="B97" s="30"/>
      <c r="C97" s="30" t="s">
        <v>371</v>
      </c>
      <c r="D97" s="11" t="s">
        <v>652</v>
      </c>
      <c r="E97" s="20">
        <v>0</v>
      </c>
      <c r="F97" s="20">
        <f>'Z 2'!L192</f>
        <v>1438000</v>
      </c>
      <c r="G97" s="21">
        <v>0</v>
      </c>
    </row>
    <row r="98" spans="1:7" ht="17.25" customHeight="1">
      <c r="A98" s="17"/>
      <c r="B98" s="30"/>
      <c r="C98" s="30" t="s">
        <v>373</v>
      </c>
      <c r="D98" s="8" t="s">
        <v>653</v>
      </c>
      <c r="E98" s="20">
        <v>0</v>
      </c>
      <c r="F98" s="20">
        <f>'Z 2'!L193</f>
        <v>148000</v>
      </c>
      <c r="G98" s="21">
        <v>0</v>
      </c>
    </row>
    <row r="99" spans="1:7" ht="14.25" customHeight="1">
      <c r="A99" s="17"/>
      <c r="B99" s="30"/>
      <c r="C99" s="28" t="s">
        <v>375</v>
      </c>
      <c r="D99" s="8" t="s">
        <v>376</v>
      </c>
      <c r="E99" s="20">
        <v>0</v>
      </c>
      <c r="F99" s="20">
        <f>'Z 2'!L194</f>
        <v>121000</v>
      </c>
      <c r="G99" s="21">
        <v>0</v>
      </c>
    </row>
    <row r="100" spans="1:7" ht="24" customHeight="1">
      <c r="A100" s="17"/>
      <c r="B100" s="30"/>
      <c r="C100" s="28" t="s">
        <v>736</v>
      </c>
      <c r="D100" s="11" t="s">
        <v>132</v>
      </c>
      <c r="E100" s="20">
        <v>0</v>
      </c>
      <c r="F100" s="20">
        <v>93000</v>
      </c>
      <c r="G100" s="21">
        <v>0</v>
      </c>
    </row>
    <row r="101" spans="1:7" ht="17.25" customHeight="1">
      <c r="A101" s="17"/>
      <c r="B101" s="30"/>
      <c r="C101" s="62" t="s">
        <v>314</v>
      </c>
      <c r="D101" s="11" t="s">
        <v>654</v>
      </c>
      <c r="E101" s="20">
        <v>0</v>
      </c>
      <c r="F101" s="20">
        <f>'Z 2'!L195</f>
        <v>3500</v>
      </c>
      <c r="G101" s="21">
        <v>0</v>
      </c>
    </row>
    <row r="102" spans="1:7" ht="16.5" customHeight="1">
      <c r="A102" s="17"/>
      <c r="B102" s="30"/>
      <c r="C102" s="62" t="s">
        <v>289</v>
      </c>
      <c r="D102" s="11" t="s">
        <v>290</v>
      </c>
      <c r="E102" s="20">
        <v>0</v>
      </c>
      <c r="F102" s="20">
        <f>'Z 2'!L196</f>
        <v>500</v>
      </c>
      <c r="G102" s="21">
        <v>0</v>
      </c>
    </row>
    <row r="103" spans="1:7" ht="24" customHeight="1">
      <c r="A103" s="17"/>
      <c r="B103" s="30"/>
      <c r="C103" s="30" t="s">
        <v>734</v>
      </c>
      <c r="D103" s="29" t="s">
        <v>131</v>
      </c>
      <c r="E103" s="20">
        <v>0</v>
      </c>
      <c r="F103" s="20">
        <v>149000</v>
      </c>
      <c r="G103" s="21">
        <v>0</v>
      </c>
    </row>
    <row r="104" spans="1:7" ht="14.25" customHeight="1" hidden="1">
      <c r="A104" s="17" t="s">
        <v>472</v>
      </c>
      <c r="B104" s="17" t="s">
        <v>480</v>
      </c>
      <c r="C104" s="63" t="s">
        <v>604</v>
      </c>
      <c r="D104" s="7" t="s">
        <v>601</v>
      </c>
      <c r="E104" s="7">
        <v>0</v>
      </c>
      <c r="F104" s="7">
        <f>F105+F106+F107+F109+F108</f>
        <v>0</v>
      </c>
      <c r="G104" s="55">
        <v>0</v>
      </c>
    </row>
    <row r="105" spans="1:7" ht="24" customHeight="1" hidden="1">
      <c r="A105" s="17"/>
      <c r="B105" s="17"/>
      <c r="C105" s="30" t="s">
        <v>281</v>
      </c>
      <c r="D105" s="29" t="s">
        <v>282</v>
      </c>
      <c r="E105" s="20">
        <v>0</v>
      </c>
      <c r="F105" s="20">
        <v>0</v>
      </c>
      <c r="G105" s="56">
        <v>0</v>
      </c>
    </row>
    <row r="106" spans="1:7" ht="21.75" customHeight="1" hidden="1">
      <c r="A106" s="17"/>
      <c r="B106" s="17"/>
      <c r="C106" s="30" t="s">
        <v>285</v>
      </c>
      <c r="D106" s="20" t="s">
        <v>629</v>
      </c>
      <c r="E106" s="20">
        <v>0</v>
      </c>
      <c r="F106" s="20">
        <v>0</v>
      </c>
      <c r="G106" s="56">
        <v>0</v>
      </c>
    </row>
    <row r="107" spans="1:7" ht="24.75" customHeight="1" hidden="1">
      <c r="A107" s="17"/>
      <c r="B107" s="17"/>
      <c r="C107" s="191" t="s">
        <v>314</v>
      </c>
      <c r="D107" s="29" t="s">
        <v>355</v>
      </c>
      <c r="E107" s="20">
        <v>0</v>
      </c>
      <c r="F107" s="20">
        <v>0</v>
      </c>
      <c r="G107" s="56">
        <v>0</v>
      </c>
    </row>
    <row r="108" spans="1:7" ht="24.75" customHeight="1" hidden="1">
      <c r="A108" s="17"/>
      <c r="B108" s="17"/>
      <c r="C108" s="191" t="s">
        <v>289</v>
      </c>
      <c r="D108" s="29" t="s">
        <v>290</v>
      </c>
      <c r="E108" s="20">
        <v>0</v>
      </c>
      <c r="F108" s="20">
        <v>0</v>
      </c>
      <c r="G108" s="56">
        <v>0</v>
      </c>
    </row>
    <row r="109" spans="1:7" ht="21.75" customHeight="1" hidden="1">
      <c r="A109" s="17"/>
      <c r="B109" s="17"/>
      <c r="C109" s="30"/>
      <c r="D109" s="20" t="s">
        <v>422</v>
      </c>
      <c r="E109" s="20">
        <v>0</v>
      </c>
      <c r="F109" s="20">
        <v>0</v>
      </c>
      <c r="G109" s="56">
        <v>0</v>
      </c>
    </row>
    <row r="110" spans="1:7" ht="18.75" customHeight="1">
      <c r="A110" s="17"/>
      <c r="B110" s="17"/>
      <c r="C110" s="30" t="s">
        <v>291</v>
      </c>
      <c r="D110" s="20" t="s">
        <v>292</v>
      </c>
      <c r="E110" s="20">
        <v>0</v>
      </c>
      <c r="F110" s="20">
        <v>195820</v>
      </c>
      <c r="G110" s="56">
        <v>0</v>
      </c>
    </row>
    <row r="111" spans="1:7" ht="21.75" customHeight="1">
      <c r="A111" s="17"/>
      <c r="B111" s="17"/>
      <c r="C111" s="30" t="s">
        <v>379</v>
      </c>
      <c r="D111" s="20" t="s">
        <v>655</v>
      </c>
      <c r="E111" s="20">
        <v>0</v>
      </c>
      <c r="F111" s="20">
        <f>'Z 2'!L200</f>
        <v>0</v>
      </c>
      <c r="G111" s="56">
        <v>0</v>
      </c>
    </row>
    <row r="112" spans="1:7" ht="21.75" customHeight="1">
      <c r="A112" s="17"/>
      <c r="B112" s="17"/>
      <c r="C112" s="30" t="s">
        <v>381</v>
      </c>
      <c r="D112" s="20" t="s">
        <v>382</v>
      </c>
      <c r="E112" s="20">
        <v>0</v>
      </c>
      <c r="F112" s="20">
        <f>'Z 2'!L201</f>
        <v>20000</v>
      </c>
      <c r="G112" s="56">
        <v>0</v>
      </c>
    </row>
    <row r="113" spans="1:7" ht="21.75" customHeight="1">
      <c r="A113" s="17"/>
      <c r="B113" s="17"/>
      <c r="C113" s="30" t="s">
        <v>293</v>
      </c>
      <c r="D113" s="20" t="s">
        <v>383</v>
      </c>
      <c r="E113" s="20">
        <v>0</v>
      </c>
      <c r="F113" s="20">
        <f>'Z 2'!L202</f>
        <v>18000</v>
      </c>
      <c r="G113" s="56">
        <v>0</v>
      </c>
    </row>
    <row r="114" spans="1:7" ht="21.75" customHeight="1">
      <c r="A114" s="17"/>
      <c r="B114" s="17"/>
      <c r="C114" s="30" t="s">
        <v>295</v>
      </c>
      <c r="D114" s="20" t="s">
        <v>384</v>
      </c>
      <c r="E114" s="20">
        <v>0</v>
      </c>
      <c r="F114" s="20">
        <f>'Z 2'!L203</f>
        <v>12000</v>
      </c>
      <c r="G114" s="56">
        <v>0</v>
      </c>
    </row>
    <row r="115" spans="1:7" ht="21.75" customHeight="1">
      <c r="A115" s="17"/>
      <c r="B115" s="17"/>
      <c r="C115" s="30" t="s">
        <v>362</v>
      </c>
      <c r="D115" s="20" t="s">
        <v>363</v>
      </c>
      <c r="E115" s="20">
        <v>0</v>
      </c>
      <c r="F115" s="20">
        <f>'Z 2'!L204</f>
        <v>14520</v>
      </c>
      <c r="G115" s="56">
        <v>0</v>
      </c>
    </row>
    <row r="116" spans="1:7" ht="21.75" customHeight="1">
      <c r="A116" s="17"/>
      <c r="B116" s="17"/>
      <c r="C116" s="30" t="s">
        <v>297</v>
      </c>
      <c r="D116" s="20" t="s">
        <v>385</v>
      </c>
      <c r="E116" s="20">
        <v>0</v>
      </c>
      <c r="F116" s="20">
        <f>'Z 2'!L205</f>
        <v>45000</v>
      </c>
      <c r="G116" s="56">
        <v>0</v>
      </c>
    </row>
    <row r="117" spans="1:7" ht="21.75" customHeight="1">
      <c r="A117" s="17"/>
      <c r="B117" s="17"/>
      <c r="C117" s="30" t="s">
        <v>299</v>
      </c>
      <c r="D117" s="20" t="s">
        <v>300</v>
      </c>
      <c r="E117" s="20">
        <v>0</v>
      </c>
      <c r="F117" s="20">
        <f>'Z 2'!L206</f>
        <v>7000</v>
      </c>
      <c r="G117" s="56">
        <v>0</v>
      </c>
    </row>
    <row r="118" spans="1:7" ht="17.25" customHeight="1">
      <c r="A118" s="17"/>
      <c r="B118" s="17"/>
      <c r="C118" s="30" t="s">
        <v>301</v>
      </c>
      <c r="D118" s="20" t="s">
        <v>302</v>
      </c>
      <c r="E118" s="20">
        <v>0</v>
      </c>
      <c r="F118" s="20">
        <f>'Z 2'!L207</f>
        <v>8000</v>
      </c>
      <c r="G118" s="56">
        <v>0</v>
      </c>
    </row>
    <row r="119" spans="1:7" ht="18" customHeight="1">
      <c r="A119" s="17"/>
      <c r="B119" s="17"/>
      <c r="C119" s="30" t="s">
        <v>303</v>
      </c>
      <c r="D119" s="20" t="s">
        <v>304</v>
      </c>
      <c r="E119" s="20">
        <v>0</v>
      </c>
      <c r="F119" s="20">
        <f>'Z 2'!L209</f>
        <v>1000</v>
      </c>
      <c r="G119" s="56">
        <v>0</v>
      </c>
    </row>
    <row r="120" spans="1:7" ht="18.75" customHeight="1">
      <c r="A120" s="17"/>
      <c r="B120" s="17"/>
      <c r="C120" s="30" t="s">
        <v>361</v>
      </c>
      <c r="D120" s="20" t="s">
        <v>368</v>
      </c>
      <c r="E120" s="20">
        <v>0</v>
      </c>
      <c r="F120" s="20">
        <v>10500</v>
      </c>
      <c r="G120" s="56">
        <v>0</v>
      </c>
    </row>
    <row r="121" spans="1:7" ht="15.75" customHeight="1">
      <c r="A121" s="17"/>
      <c r="B121" s="17"/>
      <c r="C121" s="30" t="s">
        <v>389</v>
      </c>
      <c r="D121" s="20" t="s">
        <v>659</v>
      </c>
      <c r="E121" s="20">
        <v>0</v>
      </c>
      <c r="F121" s="20">
        <f>'Z 2'!L211</f>
        <v>160</v>
      </c>
      <c r="G121" s="56">
        <v>0</v>
      </c>
    </row>
    <row r="122" spans="1:7" ht="21.75" customHeight="1" hidden="1">
      <c r="A122" s="17"/>
      <c r="B122" s="17"/>
      <c r="C122" s="30" t="s">
        <v>321</v>
      </c>
      <c r="D122" s="20" t="s">
        <v>660</v>
      </c>
      <c r="E122" s="20">
        <v>0</v>
      </c>
      <c r="F122" s="20">
        <v>0</v>
      </c>
      <c r="G122" s="56">
        <v>0</v>
      </c>
    </row>
    <row r="123" spans="1:7" ht="21.75" customHeight="1">
      <c r="A123" s="315" t="s">
        <v>358</v>
      </c>
      <c r="B123" s="315" t="s">
        <v>738</v>
      </c>
      <c r="C123" s="315" t="s">
        <v>448</v>
      </c>
      <c r="D123" s="278" t="s">
        <v>465</v>
      </c>
      <c r="E123" s="278">
        <v>3000</v>
      </c>
      <c r="F123" s="278">
        <f>F124+F125</f>
        <v>3000</v>
      </c>
      <c r="G123" s="320">
        <v>0</v>
      </c>
    </row>
    <row r="124" spans="1:7" ht="21.75" customHeight="1">
      <c r="A124" s="17"/>
      <c r="B124" s="17"/>
      <c r="C124" s="30" t="s">
        <v>291</v>
      </c>
      <c r="D124" s="20" t="s">
        <v>292</v>
      </c>
      <c r="E124" s="7">
        <v>0</v>
      </c>
      <c r="F124" s="20">
        <v>1400</v>
      </c>
      <c r="G124" s="55">
        <v>0</v>
      </c>
    </row>
    <row r="125" spans="1:7" ht="21.75" customHeight="1">
      <c r="A125" s="17"/>
      <c r="B125" s="17"/>
      <c r="C125" s="30" t="s">
        <v>297</v>
      </c>
      <c r="D125" s="20" t="s">
        <v>385</v>
      </c>
      <c r="E125" s="20">
        <v>0</v>
      </c>
      <c r="F125" s="20">
        <v>1600</v>
      </c>
      <c r="G125" s="56">
        <v>0</v>
      </c>
    </row>
    <row r="126" spans="1:7" ht="28.5" customHeight="1">
      <c r="A126" s="315" t="s">
        <v>472</v>
      </c>
      <c r="B126" s="315" t="s">
        <v>486</v>
      </c>
      <c r="C126" s="315" t="s">
        <v>448</v>
      </c>
      <c r="D126" s="316" t="s">
        <v>661</v>
      </c>
      <c r="E126" s="278" t="e">
        <f>#REF!</f>
        <v>#REF!</v>
      </c>
      <c r="F126" s="278">
        <f>F127</f>
        <v>545000</v>
      </c>
      <c r="G126" s="320">
        <v>0</v>
      </c>
    </row>
    <row r="127" spans="1:7" ht="20.25" customHeight="1">
      <c r="A127" s="17"/>
      <c r="B127" s="17"/>
      <c r="C127" s="30" t="s">
        <v>487</v>
      </c>
      <c r="D127" s="29" t="s">
        <v>662</v>
      </c>
      <c r="E127" s="20">
        <v>0</v>
      </c>
      <c r="F127" s="20">
        <f>'Z 2'!L426</f>
        <v>545000</v>
      </c>
      <c r="G127" s="56">
        <v>0</v>
      </c>
    </row>
    <row r="128" spans="1:7" ht="25.5" hidden="1">
      <c r="A128" s="17" t="s">
        <v>491</v>
      </c>
      <c r="B128" s="17" t="s">
        <v>502</v>
      </c>
      <c r="C128" s="17" t="s">
        <v>604</v>
      </c>
      <c r="D128" s="4" t="s">
        <v>503</v>
      </c>
      <c r="E128" s="7" t="e">
        <f>#REF!</f>
        <v>#REF!</v>
      </c>
      <c r="F128" s="7">
        <f>F129+F131+F130+F132+F133+F134+F135+F136+F137</f>
        <v>0</v>
      </c>
      <c r="G128" s="19">
        <v>0</v>
      </c>
    </row>
    <row r="129" spans="1:7" ht="25.5" hidden="1">
      <c r="A129" s="28"/>
      <c r="B129" s="17"/>
      <c r="C129" s="30" t="s">
        <v>281</v>
      </c>
      <c r="D129" s="29" t="s">
        <v>282</v>
      </c>
      <c r="E129" s="20">
        <v>0</v>
      </c>
      <c r="F129" s="20">
        <v>0</v>
      </c>
      <c r="G129" s="21">
        <v>0</v>
      </c>
    </row>
    <row r="130" spans="1:7" ht="12.75" hidden="1">
      <c r="A130" s="28"/>
      <c r="B130" s="17"/>
      <c r="C130" s="30" t="s">
        <v>285</v>
      </c>
      <c r="D130" s="29" t="s">
        <v>629</v>
      </c>
      <c r="E130" s="20">
        <v>0</v>
      </c>
      <c r="F130" s="20">
        <v>0</v>
      </c>
      <c r="G130" s="21">
        <v>0</v>
      </c>
    </row>
    <row r="131" spans="1:7" ht="12.75" hidden="1">
      <c r="A131" s="28"/>
      <c r="B131" s="17"/>
      <c r="C131" s="191" t="s">
        <v>314</v>
      </c>
      <c r="D131" s="29" t="s">
        <v>355</v>
      </c>
      <c r="E131" s="20">
        <v>0</v>
      </c>
      <c r="F131" s="20">
        <v>0</v>
      </c>
      <c r="G131" s="21">
        <v>0</v>
      </c>
    </row>
    <row r="132" spans="1:7" ht="12.75" hidden="1">
      <c r="A132" s="28"/>
      <c r="B132" s="17"/>
      <c r="C132" s="191" t="s">
        <v>289</v>
      </c>
      <c r="D132" s="29" t="s">
        <v>290</v>
      </c>
      <c r="E132" s="20">
        <v>0</v>
      </c>
      <c r="F132" s="20">
        <v>0</v>
      </c>
      <c r="G132" s="21">
        <v>0</v>
      </c>
    </row>
    <row r="133" spans="1:7" ht="13.5" customHeight="1" hidden="1">
      <c r="A133" s="28"/>
      <c r="B133" s="17"/>
      <c r="C133" s="191" t="s">
        <v>291</v>
      </c>
      <c r="D133" s="29" t="s">
        <v>292</v>
      </c>
      <c r="E133" s="20">
        <v>0</v>
      </c>
      <c r="F133" s="20">
        <v>0</v>
      </c>
      <c r="G133" s="21">
        <v>0</v>
      </c>
    </row>
    <row r="134" spans="1:7" ht="12.75" hidden="1">
      <c r="A134" s="28"/>
      <c r="B134" s="17"/>
      <c r="C134" s="191" t="s">
        <v>293</v>
      </c>
      <c r="D134" s="29" t="s">
        <v>383</v>
      </c>
      <c r="E134" s="20">
        <v>0</v>
      </c>
      <c r="F134" s="20">
        <v>0</v>
      </c>
      <c r="G134" s="21">
        <v>0</v>
      </c>
    </row>
    <row r="135" spans="1:7" ht="12.75" hidden="1">
      <c r="A135" s="28"/>
      <c r="B135" s="17"/>
      <c r="C135" s="191" t="s">
        <v>297</v>
      </c>
      <c r="D135" s="29" t="s">
        <v>385</v>
      </c>
      <c r="E135" s="20">
        <v>0</v>
      </c>
      <c r="F135" s="20">
        <v>0</v>
      </c>
      <c r="G135" s="21">
        <v>0</v>
      </c>
    </row>
    <row r="136" spans="1:7" ht="12.75" hidden="1">
      <c r="A136" s="28"/>
      <c r="B136" s="17"/>
      <c r="C136" s="191" t="s">
        <v>299</v>
      </c>
      <c r="D136" s="29" t="s">
        <v>300</v>
      </c>
      <c r="E136" s="20">
        <v>0</v>
      </c>
      <c r="F136" s="20">
        <v>0</v>
      </c>
      <c r="G136" s="21">
        <v>0</v>
      </c>
    </row>
    <row r="137" spans="1:7" ht="12.75" hidden="1">
      <c r="A137" s="28"/>
      <c r="B137" s="17"/>
      <c r="C137" s="191" t="s">
        <v>303</v>
      </c>
      <c r="D137" s="29" t="s">
        <v>304</v>
      </c>
      <c r="E137" s="20">
        <v>0</v>
      </c>
      <c r="F137" s="20">
        <v>0</v>
      </c>
      <c r="G137" s="21">
        <v>0</v>
      </c>
    </row>
    <row r="138" spans="1:7" ht="12.75" hidden="1">
      <c r="A138" s="17" t="s">
        <v>491</v>
      </c>
      <c r="B138" s="17" t="s">
        <v>511</v>
      </c>
      <c r="C138" s="17" t="s">
        <v>604</v>
      </c>
      <c r="D138" s="7" t="s">
        <v>512</v>
      </c>
      <c r="E138" s="7" t="e">
        <f>#REF!</f>
        <v>#REF!</v>
      </c>
      <c r="F138" s="7">
        <f>F139+F140+F141+F142+F143+F144+F146+F147+F148+F149+F150</f>
        <v>0</v>
      </c>
      <c r="G138" s="19">
        <v>0</v>
      </c>
    </row>
    <row r="139" spans="1:7" ht="25.5" hidden="1">
      <c r="A139" s="28"/>
      <c r="B139" s="17"/>
      <c r="C139" s="30" t="s">
        <v>281</v>
      </c>
      <c r="D139" s="29" t="s">
        <v>282</v>
      </c>
      <c r="E139" s="20">
        <v>0</v>
      </c>
      <c r="F139" s="20">
        <v>0</v>
      </c>
      <c r="G139" s="21">
        <v>0</v>
      </c>
    </row>
    <row r="140" spans="1:7" ht="12.75" hidden="1">
      <c r="A140" s="28"/>
      <c r="B140" s="17"/>
      <c r="C140" s="30" t="s">
        <v>285</v>
      </c>
      <c r="D140" s="20" t="s">
        <v>629</v>
      </c>
      <c r="E140" s="20">
        <v>0</v>
      </c>
      <c r="F140" s="20">
        <v>0</v>
      </c>
      <c r="G140" s="21">
        <v>0</v>
      </c>
    </row>
    <row r="141" spans="1:7" ht="12.75" hidden="1">
      <c r="A141" s="28"/>
      <c r="B141" s="17"/>
      <c r="C141" s="191" t="s">
        <v>314</v>
      </c>
      <c r="D141" s="29" t="s">
        <v>355</v>
      </c>
      <c r="E141" s="20">
        <v>0</v>
      </c>
      <c r="F141" s="20">
        <v>0</v>
      </c>
      <c r="G141" s="21">
        <v>0</v>
      </c>
    </row>
    <row r="142" spans="1:7" ht="12.75" hidden="1">
      <c r="A142" s="28"/>
      <c r="B142" s="17"/>
      <c r="C142" s="191" t="s">
        <v>289</v>
      </c>
      <c r="D142" s="29" t="s">
        <v>290</v>
      </c>
      <c r="E142" s="20">
        <v>0</v>
      </c>
      <c r="F142" s="20">
        <v>0</v>
      </c>
      <c r="G142" s="21">
        <v>0</v>
      </c>
    </row>
    <row r="143" spans="1:7" ht="12.75" hidden="1">
      <c r="A143" s="28"/>
      <c r="B143" s="28"/>
      <c r="C143" s="30" t="s">
        <v>291</v>
      </c>
      <c r="D143" s="20" t="s">
        <v>292</v>
      </c>
      <c r="E143" s="20">
        <v>0</v>
      </c>
      <c r="F143" s="20">
        <v>0</v>
      </c>
      <c r="G143" s="21">
        <v>0</v>
      </c>
    </row>
    <row r="144" spans="1:7" ht="12.75" hidden="1">
      <c r="A144" s="28"/>
      <c r="B144" s="28"/>
      <c r="C144" s="30" t="s">
        <v>293</v>
      </c>
      <c r="D144" s="20" t="s">
        <v>383</v>
      </c>
      <c r="E144" s="20">
        <v>0</v>
      </c>
      <c r="F144" s="20">
        <v>0</v>
      </c>
      <c r="G144" s="21">
        <v>0</v>
      </c>
    </row>
    <row r="145" spans="1:7" ht="12.75" hidden="1">
      <c r="A145" s="28"/>
      <c r="B145" s="28"/>
      <c r="C145" s="30" t="s">
        <v>295</v>
      </c>
      <c r="D145" s="20" t="s">
        <v>384</v>
      </c>
      <c r="E145" s="20">
        <v>0</v>
      </c>
      <c r="F145" s="20">
        <v>15074</v>
      </c>
      <c r="G145" s="21">
        <v>0</v>
      </c>
    </row>
    <row r="146" spans="1:7" ht="12.75" hidden="1">
      <c r="A146" s="28"/>
      <c r="B146" s="28"/>
      <c r="C146" s="30" t="s">
        <v>297</v>
      </c>
      <c r="D146" s="20" t="s">
        <v>385</v>
      </c>
      <c r="E146" s="20">
        <v>0</v>
      </c>
      <c r="F146" s="20">
        <v>0</v>
      </c>
      <c r="G146" s="21">
        <v>0</v>
      </c>
    </row>
    <row r="147" spans="1:7" ht="12.75" hidden="1">
      <c r="A147" s="28"/>
      <c r="B147" s="28"/>
      <c r="C147" s="30" t="s">
        <v>299</v>
      </c>
      <c r="D147" s="20" t="s">
        <v>300</v>
      </c>
      <c r="E147" s="20">
        <v>0</v>
      </c>
      <c r="F147" s="20">
        <v>0</v>
      </c>
      <c r="G147" s="21">
        <v>0</v>
      </c>
    </row>
    <row r="148" spans="1:7" ht="12.75" hidden="1">
      <c r="A148" s="28"/>
      <c r="B148" s="28"/>
      <c r="C148" s="30" t="s">
        <v>301</v>
      </c>
      <c r="D148" s="20" t="s">
        <v>302</v>
      </c>
      <c r="E148" s="20">
        <v>0</v>
      </c>
      <c r="F148" s="20">
        <v>0</v>
      </c>
      <c r="G148" s="21">
        <v>0</v>
      </c>
    </row>
    <row r="149" spans="1:7" ht="12.75" hidden="1">
      <c r="A149" s="28"/>
      <c r="B149" s="28"/>
      <c r="C149" s="30" t="s">
        <v>303</v>
      </c>
      <c r="D149" s="20" t="s">
        <v>304</v>
      </c>
      <c r="E149" s="20">
        <v>0</v>
      </c>
      <c r="F149" s="20">
        <v>0</v>
      </c>
      <c r="G149" s="21">
        <v>0</v>
      </c>
    </row>
    <row r="150" spans="1:7" ht="12.75" hidden="1">
      <c r="A150" s="28"/>
      <c r="B150" s="28"/>
      <c r="C150" s="30" t="s">
        <v>319</v>
      </c>
      <c r="D150" s="20" t="s">
        <v>320</v>
      </c>
      <c r="E150" s="20">
        <v>0</v>
      </c>
      <c r="F150" s="20">
        <v>0</v>
      </c>
      <c r="G150" s="21">
        <v>0</v>
      </c>
    </row>
    <row r="151" spans="1:7" ht="21" customHeight="1">
      <c r="A151" s="536" t="s">
        <v>663</v>
      </c>
      <c r="B151" s="536"/>
      <c r="C151" s="536"/>
      <c r="D151" s="536"/>
      <c r="E151" s="306" t="e">
        <f>E14+E31+E39+E41+E43+E55+E65+E94+E123+E126</f>
        <v>#REF!</v>
      </c>
      <c r="F151" s="306">
        <f>F14+F31+F39+F41+F43+F55+F65+F94+F123+F126</f>
        <v>3305295</v>
      </c>
      <c r="G151" s="306">
        <f>G10</f>
        <v>138608</v>
      </c>
    </row>
    <row r="152" ht="12.75">
      <c r="E152" t="s">
        <v>240</v>
      </c>
    </row>
  </sheetData>
  <mergeCells count="9">
    <mergeCell ref="B13:F13"/>
    <mergeCell ref="E1:G1"/>
    <mergeCell ref="A151:D151"/>
    <mergeCell ref="G7:G8"/>
    <mergeCell ref="D7:D8"/>
    <mergeCell ref="F7:F8"/>
    <mergeCell ref="A7:C7"/>
    <mergeCell ref="E7:E8"/>
    <mergeCell ref="A5:G5"/>
  </mergeCells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scale="89" r:id="rId1"/>
  <headerFooter alignWithMargins="0"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G2" sqref="G2"/>
    </sheetView>
  </sheetViews>
  <sheetFormatPr defaultColWidth="9.00390625" defaultRowHeight="12.75"/>
  <cols>
    <col min="1" max="1" width="6.875" style="0" customWidth="1"/>
    <col min="2" max="2" width="8.75390625" style="0" customWidth="1"/>
    <col min="3" max="3" width="6.25390625" style="0" customWidth="1"/>
    <col min="4" max="4" width="31.625" style="0" customWidth="1"/>
    <col min="5" max="5" width="16.375" style="0" customWidth="1"/>
    <col min="6" max="6" width="16.875" style="0" customWidth="1"/>
    <col min="7" max="7" width="9.625" style="0" bestFit="1" customWidth="1"/>
  </cols>
  <sheetData>
    <row r="1" spans="4:6" ht="40.5" customHeight="1">
      <c r="D1" s="1"/>
      <c r="E1" s="512" t="s">
        <v>265</v>
      </c>
      <c r="F1" s="512"/>
    </row>
    <row r="2" spans="5:6" ht="30" customHeight="1">
      <c r="E2" s="1"/>
      <c r="F2" s="1"/>
    </row>
    <row r="3" spans="1:6" ht="63" customHeight="1" thickBot="1">
      <c r="A3" s="553" t="s">
        <v>33</v>
      </c>
      <c r="B3" s="553"/>
      <c r="C3" s="553"/>
      <c r="D3" s="553"/>
      <c r="E3" s="553"/>
      <c r="F3" s="553"/>
    </row>
    <row r="4" spans="1:6" ht="13.5" thickBot="1">
      <c r="A4" s="554" t="s">
        <v>592</v>
      </c>
      <c r="B4" s="555"/>
      <c r="C4" s="556"/>
      <c r="D4" s="557" t="s">
        <v>593</v>
      </c>
      <c r="E4" s="559" t="s">
        <v>664</v>
      </c>
      <c r="F4" s="561" t="s">
        <v>595</v>
      </c>
    </row>
    <row r="5" spans="1:6" ht="13.5" thickBot="1">
      <c r="A5" s="123" t="s">
        <v>597</v>
      </c>
      <c r="B5" s="124" t="s">
        <v>598</v>
      </c>
      <c r="C5" s="123" t="s">
        <v>248</v>
      </c>
      <c r="D5" s="558"/>
      <c r="E5" s="560"/>
      <c r="F5" s="562"/>
    </row>
    <row r="6" spans="1:6" ht="12.75">
      <c r="A6" s="227">
        <v>1</v>
      </c>
      <c r="B6" s="226">
        <v>2</v>
      </c>
      <c r="C6" s="226">
        <v>3</v>
      </c>
      <c r="D6" s="125">
        <v>4</v>
      </c>
      <c r="E6" s="226">
        <v>5</v>
      </c>
      <c r="F6" s="228">
        <v>6</v>
      </c>
    </row>
    <row r="7" spans="1:6" ht="25.5" hidden="1">
      <c r="A7" s="60"/>
      <c r="B7" s="51"/>
      <c r="C7" s="128">
        <v>2830</v>
      </c>
      <c r="D7" s="129" t="s">
        <v>35</v>
      </c>
      <c r="E7" s="126">
        <v>0</v>
      </c>
      <c r="F7" s="130">
        <v>0</v>
      </c>
    </row>
    <row r="8" spans="1:6" ht="12.75">
      <c r="A8" s="274">
        <v>852</v>
      </c>
      <c r="B8" s="274">
        <v>85202</v>
      </c>
      <c r="C8" s="274">
        <v>2130</v>
      </c>
      <c r="D8" s="323" t="s">
        <v>497</v>
      </c>
      <c r="E8" s="324">
        <v>490000</v>
      </c>
      <c r="F8" s="325">
        <f>F9+F10+F11+F13+F12+F14+F15+F16+F17+F18+F19+F20+F21+F22+F23+F24+F25</f>
        <v>490000</v>
      </c>
    </row>
    <row r="9" spans="1:6" ht="25.5">
      <c r="A9" s="127"/>
      <c r="B9" s="58"/>
      <c r="C9" s="133">
        <v>4010</v>
      </c>
      <c r="D9" s="129" t="s">
        <v>282</v>
      </c>
      <c r="E9" s="126">
        <v>0</v>
      </c>
      <c r="F9" s="130">
        <v>306229</v>
      </c>
    </row>
    <row r="10" spans="1:6" ht="12.75">
      <c r="A10" s="131"/>
      <c r="B10" s="132"/>
      <c r="C10" s="133">
        <v>4040</v>
      </c>
      <c r="D10" s="129" t="s">
        <v>651</v>
      </c>
      <c r="E10" s="126">
        <v>0</v>
      </c>
      <c r="F10" s="130">
        <v>31265</v>
      </c>
    </row>
    <row r="11" spans="1:6" ht="12.75">
      <c r="A11" s="131"/>
      <c r="B11" s="132"/>
      <c r="C11" s="256">
        <v>4110</v>
      </c>
      <c r="D11" s="129" t="s">
        <v>355</v>
      </c>
      <c r="E11" s="126">
        <v>0</v>
      </c>
      <c r="F11" s="130">
        <v>58150</v>
      </c>
    </row>
    <row r="12" spans="1:6" ht="12.75">
      <c r="A12" s="131"/>
      <c r="B12" s="132"/>
      <c r="C12" s="256">
        <v>4120</v>
      </c>
      <c r="D12" s="129" t="s">
        <v>290</v>
      </c>
      <c r="E12" s="126">
        <v>0</v>
      </c>
      <c r="F12" s="130">
        <v>8270</v>
      </c>
    </row>
    <row r="13" spans="1:6" ht="12.75" hidden="1">
      <c r="A13" s="131"/>
      <c r="B13" s="132"/>
      <c r="C13" s="133">
        <v>3020</v>
      </c>
      <c r="D13" s="129" t="s">
        <v>34</v>
      </c>
      <c r="E13" s="126">
        <v>0</v>
      </c>
      <c r="F13" s="130">
        <v>0</v>
      </c>
    </row>
    <row r="14" spans="1:6" ht="12.75" hidden="1">
      <c r="A14" s="131"/>
      <c r="B14" s="132"/>
      <c r="C14" s="133">
        <v>3030</v>
      </c>
      <c r="D14" s="129" t="s">
        <v>494</v>
      </c>
      <c r="E14" s="126">
        <v>0</v>
      </c>
      <c r="F14" s="130">
        <v>0</v>
      </c>
    </row>
    <row r="15" spans="1:6" ht="12.75">
      <c r="A15" s="60"/>
      <c r="B15" s="51"/>
      <c r="C15" s="133">
        <v>4410</v>
      </c>
      <c r="D15" s="129" t="s">
        <v>300</v>
      </c>
      <c r="E15" s="126">
        <v>0</v>
      </c>
      <c r="F15" s="130">
        <v>600</v>
      </c>
    </row>
    <row r="16" spans="1:6" ht="12.75">
      <c r="A16" s="127"/>
      <c r="B16" s="58"/>
      <c r="C16" s="133">
        <v>4210</v>
      </c>
      <c r="D16" s="129" t="s">
        <v>292</v>
      </c>
      <c r="E16" s="126">
        <v>0</v>
      </c>
      <c r="F16" s="130">
        <v>0</v>
      </c>
    </row>
    <row r="17" spans="1:6" ht="12.75">
      <c r="A17" s="131"/>
      <c r="B17" s="132"/>
      <c r="C17" s="134">
        <v>4220</v>
      </c>
      <c r="D17" s="135" t="s">
        <v>380</v>
      </c>
      <c r="E17" s="136">
        <v>0</v>
      </c>
      <c r="F17" s="137">
        <v>1000</v>
      </c>
    </row>
    <row r="18" spans="1:6" ht="12.75">
      <c r="A18" s="19"/>
      <c r="B18" s="19"/>
      <c r="C18" s="21">
        <v>4230</v>
      </c>
      <c r="D18" s="129" t="s">
        <v>36</v>
      </c>
      <c r="E18" s="126">
        <v>0</v>
      </c>
      <c r="F18" s="130">
        <v>3805</v>
      </c>
    </row>
    <row r="19" spans="1:6" ht="12.75">
      <c r="A19" s="19"/>
      <c r="B19" s="19"/>
      <c r="C19" s="21">
        <v>4260</v>
      </c>
      <c r="D19" s="129" t="s">
        <v>383</v>
      </c>
      <c r="E19" s="126">
        <v>0</v>
      </c>
      <c r="F19" s="130">
        <v>33152</v>
      </c>
    </row>
    <row r="20" spans="1:6" ht="12.75" hidden="1">
      <c r="A20" s="131"/>
      <c r="B20" s="132"/>
      <c r="C20" s="138">
        <v>4270</v>
      </c>
      <c r="D20" s="139" t="s">
        <v>384</v>
      </c>
      <c r="E20" s="140">
        <v>0</v>
      </c>
      <c r="F20" s="141">
        <v>0</v>
      </c>
    </row>
    <row r="21" spans="1:6" ht="12.75">
      <c r="A21" s="131"/>
      <c r="B21" s="132"/>
      <c r="C21" s="133">
        <v>4300</v>
      </c>
      <c r="D21" s="129" t="s">
        <v>385</v>
      </c>
      <c r="E21" s="126">
        <v>0</v>
      </c>
      <c r="F21" s="130">
        <v>31440</v>
      </c>
    </row>
    <row r="22" spans="1:6" ht="12.75">
      <c r="A22" s="131"/>
      <c r="B22" s="132"/>
      <c r="C22" s="133">
        <v>4430</v>
      </c>
      <c r="D22" s="129" t="s">
        <v>302</v>
      </c>
      <c r="E22" s="126">
        <v>0</v>
      </c>
      <c r="F22" s="130">
        <v>0</v>
      </c>
    </row>
    <row r="23" spans="1:6" ht="12.75">
      <c r="A23" s="131"/>
      <c r="B23" s="132"/>
      <c r="C23" s="133">
        <v>4440</v>
      </c>
      <c r="D23" s="129" t="s">
        <v>304</v>
      </c>
      <c r="E23" s="126">
        <v>0</v>
      </c>
      <c r="F23" s="130">
        <v>14350</v>
      </c>
    </row>
    <row r="24" spans="1:6" ht="12.75">
      <c r="A24" s="131"/>
      <c r="B24" s="132"/>
      <c r="C24" s="133">
        <v>4480</v>
      </c>
      <c r="D24" s="129" t="s">
        <v>320</v>
      </c>
      <c r="E24" s="126">
        <v>0</v>
      </c>
      <c r="F24" s="130">
        <v>1313</v>
      </c>
    </row>
    <row r="25" spans="1:6" ht="12.75">
      <c r="A25" s="60"/>
      <c r="B25" s="51"/>
      <c r="C25" s="133">
        <v>4520</v>
      </c>
      <c r="D25" s="129" t="s">
        <v>659</v>
      </c>
      <c r="E25" s="126">
        <v>0</v>
      </c>
      <c r="F25" s="130">
        <v>426</v>
      </c>
    </row>
    <row r="26" spans="1:6" ht="18.75" customHeight="1">
      <c r="A26" s="550" t="s">
        <v>55</v>
      </c>
      <c r="B26" s="551"/>
      <c r="C26" s="551"/>
      <c r="D26" s="552"/>
      <c r="E26" s="326">
        <f>E8</f>
        <v>490000</v>
      </c>
      <c r="F26" s="326">
        <f>F8</f>
        <v>490000</v>
      </c>
    </row>
    <row r="27" ht="12.75">
      <c r="C27" s="142"/>
    </row>
    <row r="28" spans="3:5" ht="12.75">
      <c r="C28" s="142"/>
      <c r="E28" s="201" t="s">
        <v>202</v>
      </c>
    </row>
    <row r="29" spans="1:6" ht="38.25" customHeight="1">
      <c r="A29" s="549"/>
      <c r="B29" s="549"/>
      <c r="C29" s="549"/>
      <c r="D29" s="549"/>
      <c r="E29" s="549"/>
      <c r="F29" s="549"/>
    </row>
    <row r="30" ht="12.75">
      <c r="C30" s="142"/>
    </row>
    <row r="31" ht="12.75">
      <c r="C31" s="142"/>
    </row>
    <row r="32" ht="12.75">
      <c r="C32" s="142"/>
    </row>
    <row r="33" ht="12.75">
      <c r="C33" s="142"/>
    </row>
  </sheetData>
  <mergeCells count="8">
    <mergeCell ref="E1:F1"/>
    <mergeCell ref="A29:F29"/>
    <mergeCell ref="A26:D26"/>
    <mergeCell ref="A3:F3"/>
    <mergeCell ref="A4:C4"/>
    <mergeCell ref="D4:D5"/>
    <mergeCell ref="E4:E5"/>
    <mergeCell ref="F4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1"/>
  <sheetViews>
    <sheetView tabSelected="1" workbookViewId="0" topLeftCell="A1">
      <selection activeCell="D12" sqref="D12"/>
    </sheetView>
  </sheetViews>
  <sheetFormatPr defaultColWidth="9.00390625" defaultRowHeight="12.75"/>
  <cols>
    <col min="1" max="1" width="6.375" style="0" customWidth="1"/>
    <col min="2" max="2" width="9.00390625" style="0" customWidth="1"/>
    <col min="3" max="3" width="11.25390625" style="0" customWidth="1"/>
    <col min="4" max="4" width="28.125" style="0" customWidth="1"/>
    <col min="5" max="5" width="15.875" style="0" customWidth="1"/>
    <col min="6" max="6" width="17.00390625" style="0" customWidth="1"/>
  </cols>
  <sheetData>
    <row r="1" spans="3:6" ht="24" customHeight="1">
      <c r="C1" s="563" t="s">
        <v>266</v>
      </c>
      <c r="D1" s="563"/>
      <c r="E1" s="563"/>
      <c r="F1" s="563"/>
    </row>
    <row r="2" spans="1:6" ht="33.75" customHeight="1">
      <c r="A2" s="564" t="s">
        <v>932</v>
      </c>
      <c r="B2" s="564"/>
      <c r="C2" s="564"/>
      <c r="D2" s="564"/>
      <c r="E2" s="564"/>
      <c r="F2" s="564"/>
    </row>
    <row r="3" spans="1:6" ht="12" customHeight="1">
      <c r="A3" s="565" t="s">
        <v>592</v>
      </c>
      <c r="B3" s="565"/>
      <c r="C3" s="565"/>
      <c r="D3" s="513" t="s">
        <v>593</v>
      </c>
      <c r="E3" s="513" t="s">
        <v>664</v>
      </c>
      <c r="F3" s="513" t="s">
        <v>595</v>
      </c>
    </row>
    <row r="4" spans="1:6" ht="12" customHeight="1">
      <c r="A4" s="16" t="s">
        <v>597</v>
      </c>
      <c r="B4" s="16" t="s">
        <v>598</v>
      </c>
      <c r="C4" s="16" t="s">
        <v>248</v>
      </c>
      <c r="D4" s="513"/>
      <c r="E4" s="513"/>
      <c r="F4" s="513"/>
    </row>
    <row r="5" spans="1:6" ht="11.25" customHeight="1">
      <c r="A5" s="167">
        <v>1</v>
      </c>
      <c r="B5" s="167">
        <v>2</v>
      </c>
      <c r="C5" s="167">
        <v>3</v>
      </c>
      <c r="D5" s="167">
        <v>4</v>
      </c>
      <c r="E5" s="167">
        <v>5</v>
      </c>
      <c r="F5" s="167">
        <v>6</v>
      </c>
    </row>
    <row r="6" spans="1:6" ht="17.25" customHeight="1">
      <c r="A6" s="342"/>
      <c r="B6" s="342"/>
      <c r="C6" s="342"/>
      <c r="D6" s="343" t="s">
        <v>959</v>
      </c>
      <c r="E6" s="343">
        <f>E7+E11</f>
        <v>430206</v>
      </c>
      <c r="F6" s="343">
        <f>F7+F11</f>
        <v>0</v>
      </c>
    </row>
    <row r="7" spans="1:6" ht="15" customHeight="1">
      <c r="A7" s="278">
        <v>803</v>
      </c>
      <c r="B7" s="278">
        <v>80309</v>
      </c>
      <c r="C7" s="335"/>
      <c r="D7" s="334" t="s">
        <v>704</v>
      </c>
      <c r="E7" s="318">
        <f>E9+E10</f>
        <v>72046</v>
      </c>
      <c r="F7" s="318">
        <f>F9+F10</f>
        <v>0</v>
      </c>
    </row>
    <row r="8" spans="1:6" ht="11.25" customHeight="1">
      <c r="A8" s="7"/>
      <c r="B8" s="7"/>
      <c r="C8" s="61"/>
      <c r="D8" s="191" t="s">
        <v>667</v>
      </c>
      <c r="E8" s="61"/>
      <c r="F8" s="61"/>
    </row>
    <row r="9" spans="1:6" ht="11.25" customHeight="1">
      <c r="A9" s="20"/>
      <c r="B9" s="20"/>
      <c r="C9" s="61">
        <v>2888</v>
      </c>
      <c r="D9" s="191" t="s">
        <v>426</v>
      </c>
      <c r="E9" s="61">
        <v>54034</v>
      </c>
      <c r="F9" s="61"/>
    </row>
    <row r="10" spans="1:6" ht="11.25" customHeight="1">
      <c r="A10" s="20"/>
      <c r="B10" s="20"/>
      <c r="C10" s="61">
        <v>2889</v>
      </c>
      <c r="D10" s="191" t="s">
        <v>426</v>
      </c>
      <c r="E10" s="61">
        <v>18012</v>
      </c>
      <c r="F10" s="61"/>
    </row>
    <row r="11" spans="1:6" ht="11.25" customHeight="1">
      <c r="A11" s="278">
        <v>854</v>
      </c>
      <c r="B11" s="278">
        <v>85415</v>
      </c>
      <c r="C11" s="335"/>
      <c r="D11" s="334" t="s">
        <v>907</v>
      </c>
      <c r="E11" s="318">
        <f>E13+E14</f>
        <v>358160</v>
      </c>
      <c r="F11" s="318">
        <f>F13+F14</f>
        <v>0</v>
      </c>
    </row>
    <row r="12" spans="1:6" ht="11.25" customHeight="1">
      <c r="A12" s="20"/>
      <c r="B12" s="20"/>
      <c r="C12" s="61"/>
      <c r="D12" s="191" t="s">
        <v>667</v>
      </c>
      <c r="E12" s="61"/>
      <c r="F12" s="61"/>
    </row>
    <row r="13" spans="1:6" ht="11.25" customHeight="1">
      <c r="A13" s="20"/>
      <c r="B13" s="20"/>
      <c r="C13" s="61">
        <v>2888</v>
      </c>
      <c r="D13" s="191" t="s">
        <v>426</v>
      </c>
      <c r="E13" s="61">
        <v>243549</v>
      </c>
      <c r="F13" s="61">
        <v>0</v>
      </c>
    </row>
    <row r="14" spans="1:6" ht="11.25" customHeight="1">
      <c r="A14" s="20"/>
      <c r="B14" s="20"/>
      <c r="C14" s="61">
        <v>2889</v>
      </c>
      <c r="D14" s="191" t="s">
        <v>426</v>
      </c>
      <c r="E14" s="61">
        <v>114611</v>
      </c>
      <c r="F14" s="61">
        <v>0</v>
      </c>
    </row>
    <row r="15" spans="1:6" ht="16.5" customHeight="1">
      <c r="A15" s="342"/>
      <c r="B15" s="342"/>
      <c r="C15" s="342"/>
      <c r="D15" s="343" t="s">
        <v>960</v>
      </c>
      <c r="E15" s="343">
        <f>E16+E20+E23+E28+E55+E68+E78+E81+E85+E88+E94+E97+E100</f>
        <v>864856</v>
      </c>
      <c r="F15" s="343">
        <f>F16+F20+F23+F28+F52+F55+F68+F78+F81+F85+F88+F94+F97+F100</f>
        <v>444016</v>
      </c>
    </row>
    <row r="16" spans="1:6" ht="18.75" customHeight="1">
      <c r="A16" s="318">
        <v>600</v>
      </c>
      <c r="B16" s="318">
        <v>60014</v>
      </c>
      <c r="C16" s="318">
        <v>2310</v>
      </c>
      <c r="D16" s="318" t="s">
        <v>214</v>
      </c>
      <c r="E16" s="318">
        <f>E19</f>
        <v>0</v>
      </c>
      <c r="F16" s="318">
        <f>F19</f>
        <v>50000</v>
      </c>
    </row>
    <row r="17" spans="1:6" ht="9.75" customHeight="1">
      <c r="A17" s="61"/>
      <c r="B17" s="61"/>
      <c r="C17" s="61"/>
      <c r="D17" s="234" t="s">
        <v>667</v>
      </c>
      <c r="E17" s="61"/>
      <c r="F17" s="61"/>
    </row>
    <row r="18" spans="1:6" ht="15.75" customHeight="1" hidden="1">
      <c r="A18" s="61"/>
      <c r="B18" s="61"/>
      <c r="C18" s="61"/>
      <c r="D18" s="22" t="s">
        <v>217</v>
      </c>
      <c r="E18" s="61">
        <v>0</v>
      </c>
      <c r="F18" s="61">
        <v>0</v>
      </c>
    </row>
    <row r="19" spans="1:6" ht="15.75" customHeight="1">
      <c r="A19" s="61"/>
      <c r="B19" s="61"/>
      <c r="C19" s="61">
        <v>2310</v>
      </c>
      <c r="D19" s="22" t="s">
        <v>135</v>
      </c>
      <c r="E19" s="61">
        <v>0</v>
      </c>
      <c r="F19" s="61">
        <v>50000</v>
      </c>
    </row>
    <row r="20" spans="1:6" ht="15.75" customHeight="1">
      <c r="A20" s="317" t="s">
        <v>258</v>
      </c>
      <c r="B20" s="317" t="s">
        <v>861</v>
      </c>
      <c r="C20" s="318">
        <v>2310</v>
      </c>
      <c r="D20" s="275" t="s">
        <v>357</v>
      </c>
      <c r="E20" s="318">
        <f>E22</f>
        <v>0</v>
      </c>
      <c r="F20" s="318">
        <f>F22</f>
        <v>1700</v>
      </c>
    </row>
    <row r="21" spans="1:6" ht="12.75" customHeight="1">
      <c r="A21" s="61"/>
      <c r="B21" s="61"/>
      <c r="C21" s="61"/>
      <c r="D21" s="22" t="s">
        <v>667</v>
      </c>
      <c r="E21" s="61"/>
      <c r="F21" s="61"/>
    </row>
    <row r="22" spans="1:6" ht="15.75" customHeight="1">
      <c r="A22" s="61"/>
      <c r="B22" s="61"/>
      <c r="C22" s="61">
        <v>2310</v>
      </c>
      <c r="D22" s="22" t="s">
        <v>136</v>
      </c>
      <c r="E22" s="61">
        <v>0</v>
      </c>
      <c r="F22" s="61">
        <v>1700</v>
      </c>
    </row>
    <row r="23" spans="1:6" ht="25.5" customHeight="1">
      <c r="A23" s="319">
        <v>754</v>
      </c>
      <c r="B23" s="319">
        <v>75411</v>
      </c>
      <c r="C23" s="319">
        <v>2310</v>
      </c>
      <c r="D23" s="323" t="s">
        <v>891</v>
      </c>
      <c r="E23" s="319">
        <f>E25+E26+E27</f>
        <v>1000</v>
      </c>
      <c r="F23" s="319">
        <f>F25+F26+F27</f>
        <v>0</v>
      </c>
    </row>
    <row r="24" spans="1:6" ht="15.75" customHeight="1">
      <c r="A24" s="61"/>
      <c r="B24" s="61"/>
      <c r="C24" s="61"/>
      <c r="D24" s="22" t="s">
        <v>667</v>
      </c>
      <c r="E24" s="61"/>
      <c r="F24" s="61"/>
    </row>
    <row r="25" spans="1:6" ht="15.75" customHeight="1">
      <c r="A25" s="61"/>
      <c r="B25" s="61"/>
      <c r="C25" s="61"/>
      <c r="D25" s="22" t="s">
        <v>133</v>
      </c>
      <c r="E25" s="61">
        <v>1000</v>
      </c>
      <c r="F25" s="61">
        <v>0</v>
      </c>
    </row>
    <row r="26" spans="1:6" ht="15.75" customHeight="1">
      <c r="A26" s="61"/>
      <c r="B26" s="61"/>
      <c r="C26" s="61"/>
      <c r="D26" s="22" t="s">
        <v>137</v>
      </c>
      <c r="E26" s="61">
        <v>0</v>
      </c>
      <c r="F26" s="61">
        <v>0</v>
      </c>
    </row>
    <row r="27" spans="1:6" ht="15.75" customHeight="1">
      <c r="A27" s="61"/>
      <c r="B27" s="61"/>
      <c r="C27" s="61"/>
      <c r="D27" s="22" t="s">
        <v>134</v>
      </c>
      <c r="E27" s="61">
        <v>0</v>
      </c>
      <c r="F27" s="61">
        <v>0</v>
      </c>
    </row>
    <row r="28" spans="1:6" ht="13.5" customHeight="1">
      <c r="A28" s="318">
        <v>600</v>
      </c>
      <c r="B28" s="318">
        <v>60014</v>
      </c>
      <c r="C28" s="318">
        <v>6610</v>
      </c>
      <c r="D28" s="318" t="s">
        <v>214</v>
      </c>
      <c r="E28" s="318">
        <f>E30+E32+E31</f>
        <v>120000</v>
      </c>
      <c r="F28" s="318">
        <f>F30+F32+F31</f>
        <v>0</v>
      </c>
    </row>
    <row r="29" spans="1:6" ht="12" customHeight="1">
      <c r="A29" s="61"/>
      <c r="B29" s="61"/>
      <c r="C29" s="61"/>
      <c r="D29" s="234" t="s">
        <v>667</v>
      </c>
      <c r="E29" s="61"/>
      <c r="F29" s="61"/>
    </row>
    <row r="30" spans="1:6" ht="15" customHeight="1">
      <c r="A30" s="22"/>
      <c r="B30" s="22"/>
      <c r="C30" s="61">
        <v>6610</v>
      </c>
      <c r="D30" s="22" t="s">
        <v>135</v>
      </c>
      <c r="E30" s="61">
        <v>50000</v>
      </c>
      <c r="F30" s="61">
        <v>0</v>
      </c>
    </row>
    <row r="31" spans="1:6" ht="15" customHeight="1">
      <c r="A31" s="22"/>
      <c r="B31" s="22"/>
      <c r="C31" s="61">
        <v>6610</v>
      </c>
      <c r="D31" s="22" t="s">
        <v>138</v>
      </c>
      <c r="E31" s="61">
        <v>50000</v>
      </c>
      <c r="F31" s="61">
        <v>0</v>
      </c>
    </row>
    <row r="32" spans="1:6" ht="15" customHeight="1">
      <c r="A32" s="22"/>
      <c r="B32" s="22"/>
      <c r="C32" s="61">
        <v>6610</v>
      </c>
      <c r="D32" s="22" t="s">
        <v>136</v>
      </c>
      <c r="E32" s="61">
        <v>20000</v>
      </c>
      <c r="F32" s="61">
        <v>0</v>
      </c>
    </row>
    <row r="33" spans="1:6" ht="15" customHeight="1" hidden="1">
      <c r="A33" s="57">
        <v>600</v>
      </c>
      <c r="B33" s="57">
        <v>60014</v>
      </c>
      <c r="C33" s="16">
        <v>663</v>
      </c>
      <c r="D33" s="16" t="s">
        <v>214</v>
      </c>
      <c r="E33" s="16">
        <f>E35</f>
        <v>0</v>
      </c>
      <c r="F33" s="16">
        <f>F35</f>
        <v>0</v>
      </c>
    </row>
    <row r="34" spans="1:6" ht="12" customHeight="1" hidden="1">
      <c r="A34" s="22"/>
      <c r="B34" s="22"/>
      <c r="C34" s="61"/>
      <c r="D34" s="234" t="s">
        <v>667</v>
      </c>
      <c r="E34" s="61"/>
      <c r="F34" s="61"/>
    </row>
    <row r="35" spans="1:6" ht="15" customHeight="1" hidden="1">
      <c r="A35" s="22"/>
      <c r="B35" s="22"/>
      <c r="C35" s="61"/>
      <c r="D35" s="22" t="s">
        <v>243</v>
      </c>
      <c r="E35" s="61">
        <v>0</v>
      </c>
      <c r="F35" s="61">
        <v>0</v>
      </c>
    </row>
    <row r="36" spans="1:6" ht="15" customHeight="1" hidden="1">
      <c r="A36" s="57">
        <v>851</v>
      </c>
      <c r="B36" s="57">
        <v>85111</v>
      </c>
      <c r="C36" s="16">
        <v>231</v>
      </c>
      <c r="D36" s="57" t="s">
        <v>475</v>
      </c>
      <c r="E36" s="16">
        <f>E38+E39</f>
        <v>124000</v>
      </c>
      <c r="F36" s="16">
        <f>F38</f>
        <v>0</v>
      </c>
    </row>
    <row r="37" spans="1:6" ht="9.75" customHeight="1" hidden="1">
      <c r="A37" s="22"/>
      <c r="B37" s="22"/>
      <c r="C37" s="61"/>
      <c r="D37" s="234" t="s">
        <v>667</v>
      </c>
      <c r="E37" s="61"/>
      <c r="F37" s="61"/>
    </row>
    <row r="38" spans="1:6" ht="15" customHeight="1" hidden="1">
      <c r="A38" s="22"/>
      <c r="B38" s="22"/>
      <c r="C38" s="61"/>
      <c r="D38" s="22" t="s">
        <v>216</v>
      </c>
      <c r="E38" s="61">
        <v>100000</v>
      </c>
      <c r="F38" s="61">
        <v>0</v>
      </c>
    </row>
    <row r="39" spans="1:6" ht="15" customHeight="1" hidden="1">
      <c r="A39" s="22"/>
      <c r="B39" s="22"/>
      <c r="C39" s="61"/>
      <c r="D39" s="22" t="s">
        <v>215</v>
      </c>
      <c r="E39" s="61">
        <v>24000</v>
      </c>
      <c r="F39" s="61">
        <v>0</v>
      </c>
    </row>
    <row r="40" spans="1:6" ht="15" customHeight="1" hidden="1">
      <c r="A40" s="57">
        <v>600</v>
      </c>
      <c r="B40" s="57">
        <v>60014</v>
      </c>
      <c r="C40" s="16">
        <v>6610</v>
      </c>
      <c r="D40" s="16" t="s">
        <v>214</v>
      </c>
      <c r="E40" s="61">
        <f>E42</f>
        <v>0</v>
      </c>
      <c r="F40" s="16">
        <f>F42</f>
        <v>0</v>
      </c>
    </row>
    <row r="41" spans="1:6" ht="11.25" customHeight="1" hidden="1">
      <c r="A41" s="22"/>
      <c r="B41" s="22"/>
      <c r="C41" s="61"/>
      <c r="D41" s="234" t="s">
        <v>667</v>
      </c>
      <c r="E41" s="61"/>
      <c r="F41" s="61"/>
    </row>
    <row r="42" spans="1:6" ht="15" customHeight="1" hidden="1">
      <c r="A42" s="22"/>
      <c r="B42" s="22"/>
      <c r="C42" s="61"/>
      <c r="D42" s="22" t="s">
        <v>216</v>
      </c>
      <c r="E42" s="61">
        <v>0</v>
      </c>
      <c r="F42" s="61">
        <v>0</v>
      </c>
    </row>
    <row r="43" spans="1:6" ht="15.75" customHeight="1" hidden="1">
      <c r="A43" s="16">
        <v>630</v>
      </c>
      <c r="B43" s="16">
        <v>63001</v>
      </c>
      <c r="C43" s="16">
        <v>6620</v>
      </c>
      <c r="D43" s="16" t="s">
        <v>197</v>
      </c>
      <c r="E43" s="16">
        <f>E45</f>
        <v>0</v>
      </c>
      <c r="F43" s="16">
        <v>0</v>
      </c>
    </row>
    <row r="44" spans="1:6" ht="12" customHeight="1" hidden="1">
      <c r="A44" s="61"/>
      <c r="B44" s="61"/>
      <c r="C44" s="61"/>
      <c r="D44" s="234" t="s">
        <v>667</v>
      </c>
      <c r="E44" s="61"/>
      <c r="F44" s="61">
        <v>0</v>
      </c>
    </row>
    <row r="45" spans="1:6" ht="26.25" customHeight="1" hidden="1">
      <c r="A45" s="61"/>
      <c r="B45" s="61"/>
      <c r="C45" s="61"/>
      <c r="D45" s="129" t="s">
        <v>203</v>
      </c>
      <c r="E45" s="61">
        <v>0</v>
      </c>
      <c r="F45" s="61">
        <v>0</v>
      </c>
    </row>
    <row r="46" spans="1:6" ht="17.25" customHeight="1" hidden="1">
      <c r="A46" s="16">
        <v>630</v>
      </c>
      <c r="B46" s="16">
        <v>63001</v>
      </c>
      <c r="C46" s="16">
        <v>6610</v>
      </c>
      <c r="D46" s="16" t="s">
        <v>197</v>
      </c>
      <c r="E46" s="61">
        <v>0</v>
      </c>
      <c r="F46" s="16">
        <f>F48</f>
        <v>0</v>
      </c>
    </row>
    <row r="47" spans="1:6" ht="10.5" customHeight="1" hidden="1">
      <c r="A47" s="61"/>
      <c r="B47" s="61"/>
      <c r="C47" s="61"/>
      <c r="D47" s="234" t="s">
        <v>667</v>
      </c>
      <c r="E47" s="61">
        <v>0</v>
      </c>
      <c r="F47" s="61"/>
    </row>
    <row r="48" spans="1:6" ht="15.75" customHeight="1" hidden="1">
      <c r="A48" s="61"/>
      <c r="B48" s="61"/>
      <c r="C48" s="61"/>
      <c r="D48" s="129" t="s">
        <v>216</v>
      </c>
      <c r="E48" s="61">
        <v>0</v>
      </c>
      <c r="F48" s="61">
        <v>0</v>
      </c>
    </row>
    <row r="49" spans="1:6" ht="15.75" customHeight="1" hidden="1">
      <c r="A49" s="26" t="s">
        <v>258</v>
      </c>
      <c r="B49" s="26" t="s">
        <v>861</v>
      </c>
      <c r="C49" s="16">
        <v>2310</v>
      </c>
      <c r="D49" s="59" t="s">
        <v>357</v>
      </c>
      <c r="E49" s="16">
        <v>0</v>
      </c>
      <c r="F49" s="16">
        <f>F51</f>
        <v>0</v>
      </c>
    </row>
    <row r="50" spans="1:6" ht="11.25" customHeight="1" hidden="1">
      <c r="A50" s="34"/>
      <c r="B50" s="34"/>
      <c r="C50" s="61"/>
      <c r="D50" s="233" t="s">
        <v>667</v>
      </c>
      <c r="E50" s="61">
        <v>0</v>
      </c>
      <c r="F50" s="61"/>
    </row>
    <row r="51" spans="1:6" ht="15.75" customHeight="1" hidden="1">
      <c r="A51" s="34"/>
      <c r="B51" s="34"/>
      <c r="C51" s="61"/>
      <c r="D51" s="129" t="s">
        <v>172</v>
      </c>
      <c r="E51" s="61">
        <v>0</v>
      </c>
      <c r="F51" s="61">
        <v>0</v>
      </c>
    </row>
    <row r="52" spans="1:6" ht="27" customHeight="1">
      <c r="A52" s="274">
        <v>801</v>
      </c>
      <c r="B52" s="274">
        <v>80146</v>
      </c>
      <c r="C52" s="318">
        <v>2320</v>
      </c>
      <c r="D52" s="323" t="s">
        <v>668</v>
      </c>
      <c r="E52" s="318">
        <f>E54</f>
        <v>0</v>
      </c>
      <c r="F52" s="318">
        <f>F54</f>
        <v>12000</v>
      </c>
    </row>
    <row r="53" spans="1:6" ht="10.5" customHeight="1">
      <c r="A53" s="3"/>
      <c r="B53" s="3"/>
      <c r="C53" s="3"/>
      <c r="D53" s="234" t="s">
        <v>667</v>
      </c>
      <c r="E53" s="3"/>
      <c r="F53" s="3"/>
    </row>
    <row r="54" spans="1:6" ht="15" customHeight="1">
      <c r="A54" s="3"/>
      <c r="B54" s="3"/>
      <c r="C54" s="3">
        <v>2320</v>
      </c>
      <c r="D54" s="18" t="s">
        <v>139</v>
      </c>
      <c r="E54" s="3">
        <v>0</v>
      </c>
      <c r="F54" s="3">
        <v>12000</v>
      </c>
    </row>
    <row r="55" spans="1:6" ht="24" customHeight="1">
      <c r="A55" s="318">
        <v>852</v>
      </c>
      <c r="B55" s="274">
        <v>85201</v>
      </c>
      <c r="C55" s="318">
        <v>2320</v>
      </c>
      <c r="D55" s="333" t="s">
        <v>364</v>
      </c>
      <c r="E55" s="318">
        <f>E57+E58+E59+E60+E65+E66+E67</f>
        <v>239521</v>
      </c>
      <c r="F55" s="318">
        <f>F57+F58+F59+F60</f>
        <v>315230</v>
      </c>
    </row>
    <row r="56" spans="1:6" ht="10.5" customHeight="1">
      <c r="A56" s="3"/>
      <c r="B56" s="3"/>
      <c r="C56" s="3"/>
      <c r="D56" s="235" t="s">
        <v>667</v>
      </c>
      <c r="E56" s="3"/>
      <c r="F56" s="3"/>
    </row>
    <row r="57" spans="1:6" ht="15" customHeight="1">
      <c r="A57" s="3"/>
      <c r="B57" s="3"/>
      <c r="C57" s="3">
        <v>2320</v>
      </c>
      <c r="D57" s="31" t="s">
        <v>15</v>
      </c>
      <c r="E57" s="3">
        <v>39920</v>
      </c>
      <c r="F57" s="3">
        <v>56016</v>
      </c>
    </row>
    <row r="58" spans="1:6" ht="18" customHeight="1">
      <c r="A58" s="3"/>
      <c r="B58" s="3"/>
      <c r="C58" s="3">
        <v>2320</v>
      </c>
      <c r="D58" s="31" t="s">
        <v>16</v>
      </c>
      <c r="E58" s="3">
        <v>0</v>
      </c>
      <c r="F58" s="3">
        <v>31944</v>
      </c>
    </row>
    <row r="59" spans="1:6" ht="21" customHeight="1">
      <c r="A59" s="3"/>
      <c r="B59" s="3"/>
      <c r="C59" s="3">
        <v>2320</v>
      </c>
      <c r="D59" s="31" t="s">
        <v>17</v>
      </c>
      <c r="E59" s="3">
        <v>0</v>
      </c>
      <c r="F59" s="3">
        <v>88200</v>
      </c>
    </row>
    <row r="60" spans="1:6" ht="15" customHeight="1">
      <c r="A60" s="3"/>
      <c r="B60" s="3"/>
      <c r="C60" s="3">
        <v>2320</v>
      </c>
      <c r="D60" s="18" t="s">
        <v>18</v>
      </c>
      <c r="E60" s="3">
        <v>106453</v>
      </c>
      <c r="F60" s="3">
        <v>139070</v>
      </c>
    </row>
    <row r="61" spans="1:6" ht="25.5" customHeight="1" hidden="1">
      <c r="A61" s="7">
        <v>854</v>
      </c>
      <c r="B61" s="7">
        <v>85417</v>
      </c>
      <c r="C61" s="16">
        <v>2310</v>
      </c>
      <c r="D61" s="4" t="s">
        <v>669</v>
      </c>
      <c r="E61" s="16">
        <v>0</v>
      </c>
      <c r="F61" s="16">
        <f>F63+F64</f>
        <v>0</v>
      </c>
    </row>
    <row r="62" spans="1:6" ht="7.5" customHeight="1" hidden="1">
      <c r="A62" s="8"/>
      <c r="B62" s="8"/>
      <c r="C62" s="3"/>
      <c r="D62" s="208" t="s">
        <v>667</v>
      </c>
      <c r="E62" s="3"/>
      <c r="F62" s="3"/>
    </row>
    <row r="63" spans="1:6" ht="18" customHeight="1" hidden="1">
      <c r="A63" s="8"/>
      <c r="B63" s="8"/>
      <c r="C63" s="3"/>
      <c r="D63" s="62" t="s">
        <v>670</v>
      </c>
      <c r="E63" s="3">
        <v>0</v>
      </c>
      <c r="F63" s="3">
        <v>0</v>
      </c>
    </row>
    <row r="64" spans="1:6" ht="15" customHeight="1" hidden="1">
      <c r="A64" s="8"/>
      <c r="B64" s="8"/>
      <c r="C64" s="3"/>
      <c r="D64" s="62" t="s">
        <v>671</v>
      </c>
      <c r="E64" s="3">
        <v>0</v>
      </c>
      <c r="F64" s="3">
        <v>0</v>
      </c>
    </row>
    <row r="65" spans="1:6" ht="15" customHeight="1">
      <c r="A65" s="8"/>
      <c r="B65" s="8"/>
      <c r="C65" s="3">
        <v>2320</v>
      </c>
      <c r="D65" s="62" t="s">
        <v>20</v>
      </c>
      <c r="E65" s="3">
        <v>39920</v>
      </c>
      <c r="F65" s="3"/>
    </row>
    <row r="66" spans="1:6" ht="15" customHeight="1">
      <c r="A66" s="8"/>
      <c r="B66" s="8"/>
      <c r="C66" s="3">
        <v>2320</v>
      </c>
      <c r="D66" s="62" t="s">
        <v>21</v>
      </c>
      <c r="E66" s="3">
        <v>26614</v>
      </c>
      <c r="F66" s="3"/>
    </row>
    <row r="67" spans="1:6" ht="15" customHeight="1">
      <c r="A67" s="8"/>
      <c r="B67" s="8"/>
      <c r="C67" s="3">
        <v>2320</v>
      </c>
      <c r="D67" s="62" t="s">
        <v>19</v>
      </c>
      <c r="E67" s="3">
        <v>26614</v>
      </c>
      <c r="F67" s="3">
        <v>0</v>
      </c>
    </row>
    <row r="68" spans="1:7" ht="15" customHeight="1">
      <c r="A68" s="278">
        <v>852</v>
      </c>
      <c r="B68" s="278">
        <v>85204</v>
      </c>
      <c r="C68" s="318"/>
      <c r="D68" s="334" t="s">
        <v>666</v>
      </c>
      <c r="E68" s="318">
        <f>E70+E71+E72+E73</f>
        <v>27747</v>
      </c>
      <c r="F68" s="318">
        <f>F70+F71+F73</f>
        <v>17206</v>
      </c>
      <c r="G68" s="37"/>
    </row>
    <row r="69" spans="1:6" ht="11.25" customHeight="1">
      <c r="A69" s="8"/>
      <c r="B69" s="8"/>
      <c r="C69" s="3"/>
      <c r="D69" s="62" t="s">
        <v>667</v>
      </c>
      <c r="E69" s="3"/>
      <c r="F69" s="3"/>
    </row>
    <row r="70" spans="1:6" ht="15" customHeight="1">
      <c r="A70" s="8"/>
      <c r="B70" s="8"/>
      <c r="C70" s="3">
        <v>2310</v>
      </c>
      <c r="D70" s="62" t="s">
        <v>143</v>
      </c>
      <c r="E70" s="3">
        <v>0</v>
      </c>
      <c r="F70" s="3">
        <v>10679</v>
      </c>
    </row>
    <row r="71" spans="1:6" ht="14.25" customHeight="1">
      <c r="A71" s="8"/>
      <c r="B71" s="8"/>
      <c r="C71" s="3">
        <v>2320</v>
      </c>
      <c r="D71" s="62" t="s">
        <v>144</v>
      </c>
      <c r="E71" s="3">
        <v>0</v>
      </c>
      <c r="F71" s="3">
        <v>6527</v>
      </c>
    </row>
    <row r="72" spans="1:6" ht="14.25" customHeight="1">
      <c r="A72" s="8"/>
      <c r="B72" s="8"/>
      <c r="C72" s="3">
        <v>2320</v>
      </c>
      <c r="D72" s="62" t="s">
        <v>12</v>
      </c>
      <c r="E72" s="3">
        <v>4405</v>
      </c>
      <c r="F72" s="3">
        <v>0</v>
      </c>
    </row>
    <row r="73" spans="1:6" ht="15" customHeight="1">
      <c r="A73" s="8"/>
      <c r="B73" s="8"/>
      <c r="C73" s="3">
        <v>2320</v>
      </c>
      <c r="D73" s="62" t="s">
        <v>145</v>
      </c>
      <c r="E73" s="3">
        <v>23342</v>
      </c>
      <c r="F73" s="3">
        <v>0</v>
      </c>
    </row>
    <row r="74" spans="1:6" ht="12" customHeight="1" hidden="1">
      <c r="A74" s="8"/>
      <c r="B74" s="8"/>
      <c r="C74" s="3"/>
      <c r="D74" s="62" t="s">
        <v>672</v>
      </c>
      <c r="E74" s="3">
        <v>0</v>
      </c>
      <c r="F74" s="3">
        <v>0</v>
      </c>
    </row>
    <row r="75" spans="1:6" ht="15" customHeight="1" hidden="1">
      <c r="A75" s="7">
        <v>750</v>
      </c>
      <c r="B75" s="7">
        <v>75018</v>
      </c>
      <c r="C75" s="16">
        <v>2330</v>
      </c>
      <c r="D75" s="63" t="s">
        <v>173</v>
      </c>
      <c r="E75" s="16">
        <v>0</v>
      </c>
      <c r="F75" s="16">
        <f>F77</f>
        <v>0</v>
      </c>
    </row>
    <row r="76" spans="1:6" ht="10.5" customHeight="1" hidden="1">
      <c r="A76" s="20"/>
      <c r="B76" s="20"/>
      <c r="C76" s="61"/>
      <c r="D76" s="236" t="s">
        <v>667</v>
      </c>
      <c r="E76" s="61"/>
      <c r="F76" s="61"/>
    </row>
    <row r="77" spans="1:6" ht="24.75" customHeight="1" hidden="1">
      <c r="A77" s="20"/>
      <c r="B77" s="20"/>
      <c r="C77" s="61"/>
      <c r="D77" s="191" t="s">
        <v>179</v>
      </c>
      <c r="E77" s="61">
        <v>0</v>
      </c>
      <c r="F77" s="61">
        <v>0</v>
      </c>
    </row>
    <row r="78" spans="1:6" ht="24.75" customHeight="1">
      <c r="A78" s="278">
        <v>750</v>
      </c>
      <c r="B78" s="278">
        <v>75018</v>
      </c>
      <c r="C78" s="318">
        <v>2330</v>
      </c>
      <c r="D78" s="334" t="s">
        <v>173</v>
      </c>
      <c r="E78" s="318">
        <f>E80</f>
        <v>0</v>
      </c>
      <c r="F78" s="318">
        <f>F80</f>
        <v>3380</v>
      </c>
    </row>
    <row r="79" spans="1:6" ht="13.5" customHeight="1">
      <c r="A79" s="20"/>
      <c r="B79" s="20"/>
      <c r="C79" s="61"/>
      <c r="D79" s="191" t="s">
        <v>667</v>
      </c>
      <c r="E79" s="61"/>
      <c r="F79" s="61"/>
    </row>
    <row r="80" spans="1:6" ht="22.5" customHeight="1">
      <c r="A80" s="20"/>
      <c r="B80" s="20"/>
      <c r="C80" s="61"/>
      <c r="D80" s="191" t="s">
        <v>147</v>
      </c>
      <c r="E80" s="61">
        <v>0</v>
      </c>
      <c r="F80" s="61">
        <v>3380</v>
      </c>
    </row>
    <row r="81" spans="1:6" ht="21.75" customHeight="1">
      <c r="A81" s="278">
        <v>750</v>
      </c>
      <c r="B81" s="278">
        <v>75020</v>
      </c>
      <c r="C81" s="318">
        <v>2310</v>
      </c>
      <c r="D81" s="334" t="s">
        <v>352</v>
      </c>
      <c r="E81" s="318">
        <f>E83+E84</f>
        <v>0</v>
      </c>
      <c r="F81" s="318">
        <f>F83+F84</f>
        <v>10000</v>
      </c>
    </row>
    <row r="82" spans="1:6" ht="12" customHeight="1">
      <c r="A82" s="20"/>
      <c r="B82" s="20"/>
      <c r="C82" s="61"/>
      <c r="D82" s="191" t="s">
        <v>667</v>
      </c>
      <c r="E82" s="61"/>
      <c r="F82" s="61"/>
    </row>
    <row r="83" spans="1:6" ht="15.75" customHeight="1">
      <c r="A83" s="20"/>
      <c r="B83" s="20"/>
      <c r="C83" s="61">
        <v>2310</v>
      </c>
      <c r="D83" s="191" t="s">
        <v>140</v>
      </c>
      <c r="E83" s="61">
        <v>0</v>
      </c>
      <c r="F83" s="61">
        <v>5000</v>
      </c>
    </row>
    <row r="84" spans="1:6" ht="15.75" customHeight="1">
      <c r="A84" s="20"/>
      <c r="B84" s="20"/>
      <c r="C84" s="61">
        <v>2310</v>
      </c>
      <c r="D84" s="191" t="s">
        <v>13</v>
      </c>
      <c r="E84" s="61">
        <v>0</v>
      </c>
      <c r="F84" s="61">
        <v>5000</v>
      </c>
    </row>
    <row r="85" spans="1:6" ht="24" customHeight="1">
      <c r="A85" s="278">
        <v>750</v>
      </c>
      <c r="B85" s="278">
        <v>75075</v>
      </c>
      <c r="C85" s="318">
        <v>2310</v>
      </c>
      <c r="D85" s="316" t="s">
        <v>558</v>
      </c>
      <c r="E85" s="318">
        <f>E87</f>
        <v>0</v>
      </c>
      <c r="F85" s="318">
        <f>F87</f>
        <v>0</v>
      </c>
    </row>
    <row r="86" spans="1:6" ht="10.5" customHeight="1">
      <c r="A86" s="20"/>
      <c r="B86" s="20"/>
      <c r="C86" s="61"/>
      <c r="D86" s="191" t="s">
        <v>667</v>
      </c>
      <c r="E86" s="61"/>
      <c r="F86" s="61"/>
    </row>
    <row r="87" spans="1:6" ht="15.75" customHeight="1">
      <c r="A87" s="20"/>
      <c r="B87" s="20"/>
      <c r="C87" s="61">
        <v>2310</v>
      </c>
      <c r="D87" s="191"/>
      <c r="E87" s="61">
        <v>0</v>
      </c>
      <c r="F87" s="61">
        <v>0</v>
      </c>
    </row>
    <row r="88" spans="1:6" ht="15.75" customHeight="1">
      <c r="A88" s="278">
        <v>851</v>
      </c>
      <c r="B88" s="278">
        <v>85111</v>
      </c>
      <c r="C88" s="318">
        <v>6619</v>
      </c>
      <c r="D88" s="334" t="s">
        <v>475</v>
      </c>
      <c r="E88" s="318">
        <f>E90+E91+E92+E93</f>
        <v>411588</v>
      </c>
      <c r="F88" s="318">
        <f>F90+F91+F93</f>
        <v>0</v>
      </c>
    </row>
    <row r="89" spans="1:6" ht="12" customHeight="1">
      <c r="A89" s="20"/>
      <c r="B89" s="20"/>
      <c r="C89" s="61"/>
      <c r="D89" s="191" t="s">
        <v>667</v>
      </c>
      <c r="E89" s="61"/>
      <c r="F89" s="61"/>
    </row>
    <row r="90" spans="1:6" ht="15.75" customHeight="1">
      <c r="A90" s="20"/>
      <c r="B90" s="20"/>
      <c r="C90" s="61">
        <v>6619</v>
      </c>
      <c r="D90" s="191" t="s">
        <v>146</v>
      </c>
      <c r="E90" s="61">
        <v>318892</v>
      </c>
      <c r="F90" s="61">
        <v>0</v>
      </c>
    </row>
    <row r="91" spans="1:6" ht="15.75" customHeight="1">
      <c r="A91" s="20"/>
      <c r="B91" s="20"/>
      <c r="C91" s="61">
        <v>6619</v>
      </c>
      <c r="D91" s="191" t="s">
        <v>140</v>
      </c>
      <c r="E91" s="61">
        <v>44690</v>
      </c>
      <c r="F91" s="61">
        <v>0</v>
      </c>
    </row>
    <row r="92" spans="1:6" ht="15.75" customHeight="1">
      <c r="A92" s="20"/>
      <c r="B92" s="20"/>
      <c r="C92" s="61">
        <v>6619</v>
      </c>
      <c r="D92" s="191" t="s">
        <v>14</v>
      </c>
      <c r="E92" s="61">
        <v>18003</v>
      </c>
      <c r="F92" s="61"/>
    </row>
    <row r="93" spans="1:6" ht="15.75" customHeight="1">
      <c r="A93" s="20"/>
      <c r="B93" s="20"/>
      <c r="C93" s="61">
        <v>6619</v>
      </c>
      <c r="D93" s="191" t="s">
        <v>141</v>
      </c>
      <c r="E93" s="61">
        <v>30003</v>
      </c>
      <c r="F93" s="61">
        <v>0</v>
      </c>
    </row>
    <row r="94" spans="1:6" ht="15.75" customHeight="1">
      <c r="A94" s="278">
        <v>854</v>
      </c>
      <c r="B94" s="278">
        <v>85417</v>
      </c>
      <c r="C94" s="318">
        <v>2310</v>
      </c>
      <c r="D94" s="334" t="s">
        <v>148</v>
      </c>
      <c r="E94" s="318">
        <f>E96</f>
        <v>0</v>
      </c>
      <c r="F94" s="318">
        <f>F96</f>
        <v>1500</v>
      </c>
    </row>
    <row r="95" spans="1:6" ht="13.5" customHeight="1">
      <c r="A95" s="20"/>
      <c r="B95" s="20"/>
      <c r="C95" s="61"/>
      <c r="D95" s="191" t="s">
        <v>667</v>
      </c>
      <c r="E95" s="61"/>
      <c r="F95" s="61"/>
    </row>
    <row r="96" spans="1:6" ht="15.75" customHeight="1">
      <c r="A96" s="20"/>
      <c r="B96" s="20"/>
      <c r="C96" s="61">
        <v>2310</v>
      </c>
      <c r="D96" s="191" t="s">
        <v>141</v>
      </c>
      <c r="E96" s="61">
        <v>0</v>
      </c>
      <c r="F96" s="61">
        <v>1500</v>
      </c>
    </row>
    <row r="97" spans="1:6" ht="26.25" customHeight="1">
      <c r="A97" s="278">
        <v>921</v>
      </c>
      <c r="B97" s="278">
        <v>92116</v>
      </c>
      <c r="C97" s="318">
        <v>6630</v>
      </c>
      <c r="D97" s="334" t="s">
        <v>673</v>
      </c>
      <c r="E97" s="318">
        <f>E99</f>
        <v>65000</v>
      </c>
      <c r="F97" s="318">
        <f>F99</f>
        <v>0</v>
      </c>
    </row>
    <row r="98" spans="1:6" ht="12" customHeight="1">
      <c r="A98" s="20"/>
      <c r="B98" s="20"/>
      <c r="C98" s="61"/>
      <c r="D98" s="191" t="s">
        <v>667</v>
      </c>
      <c r="E98" s="61"/>
      <c r="F98" s="61"/>
    </row>
    <row r="99" spans="1:6" ht="15.75" customHeight="1">
      <c r="A99" s="20"/>
      <c r="B99" s="20"/>
      <c r="C99" s="61">
        <v>6630</v>
      </c>
      <c r="D99" s="191" t="s">
        <v>426</v>
      </c>
      <c r="E99" s="61">
        <v>65000</v>
      </c>
      <c r="F99" s="61">
        <v>0</v>
      </c>
    </row>
    <row r="100" spans="1:6" ht="27.75" customHeight="1">
      <c r="A100" s="278">
        <v>921</v>
      </c>
      <c r="B100" s="278">
        <v>92116</v>
      </c>
      <c r="C100" s="318">
        <v>2310</v>
      </c>
      <c r="D100" s="334" t="s">
        <v>673</v>
      </c>
      <c r="E100" s="318">
        <v>0</v>
      </c>
      <c r="F100" s="318">
        <f>F102</f>
        <v>33000</v>
      </c>
    </row>
    <row r="101" spans="1:6" ht="11.25" customHeight="1">
      <c r="A101" s="8"/>
      <c r="B101" s="8"/>
      <c r="C101" s="3"/>
      <c r="D101" s="237" t="s">
        <v>667</v>
      </c>
      <c r="E101" s="3"/>
      <c r="F101" s="3"/>
    </row>
    <row r="102" spans="1:6" ht="15" customHeight="1">
      <c r="A102" s="8"/>
      <c r="B102" s="8"/>
      <c r="C102" s="3">
        <v>2310</v>
      </c>
      <c r="D102" s="62" t="s">
        <v>142</v>
      </c>
      <c r="E102" s="3">
        <v>0</v>
      </c>
      <c r="F102" s="3">
        <v>33000</v>
      </c>
    </row>
    <row r="103" spans="1:6" ht="15" customHeight="1" hidden="1">
      <c r="A103" s="7">
        <v>921</v>
      </c>
      <c r="B103" s="7">
        <v>92195</v>
      </c>
      <c r="C103" s="16">
        <v>2310</v>
      </c>
      <c r="D103" s="63" t="s">
        <v>357</v>
      </c>
      <c r="E103" s="16">
        <f>E105</f>
        <v>0</v>
      </c>
      <c r="F103" s="16">
        <f>F105</f>
        <v>0</v>
      </c>
    </row>
    <row r="104" spans="1:6" ht="10.5" customHeight="1" hidden="1">
      <c r="A104" s="8"/>
      <c r="B104" s="8"/>
      <c r="C104" s="3"/>
      <c r="D104" s="236" t="s">
        <v>667</v>
      </c>
      <c r="E104" s="3"/>
      <c r="F104" s="3"/>
    </row>
    <row r="105" spans="1:6" ht="15" customHeight="1" hidden="1">
      <c r="A105" s="8"/>
      <c r="B105" s="8"/>
      <c r="C105" s="3"/>
      <c r="D105" s="62" t="s">
        <v>216</v>
      </c>
      <c r="E105" s="3">
        <v>0</v>
      </c>
      <c r="F105" s="3">
        <v>0</v>
      </c>
    </row>
    <row r="106" spans="1:7" ht="14.25" customHeight="1">
      <c r="A106" s="344"/>
      <c r="B106" s="344"/>
      <c r="C106" s="343"/>
      <c r="D106" s="345" t="s">
        <v>961</v>
      </c>
      <c r="E106" s="343">
        <f>E6+E15</f>
        <v>1295062</v>
      </c>
      <c r="F106" s="343">
        <f>F6+F15</f>
        <v>444016</v>
      </c>
      <c r="G106" s="125"/>
    </row>
    <row r="107" ht="10.5" customHeight="1" hidden="1"/>
    <row r="108" spans="1:6" ht="15" customHeight="1">
      <c r="A108" s="566" t="s">
        <v>909</v>
      </c>
      <c r="B108" s="566"/>
      <c r="C108" s="566"/>
      <c r="D108" s="566"/>
      <c r="E108" s="566"/>
      <c r="F108" s="566"/>
    </row>
    <row r="109" spans="1:6" ht="15" customHeight="1">
      <c r="A109" s="107"/>
      <c r="B109" s="107"/>
      <c r="C109" s="107"/>
      <c r="D109" s="107" t="s">
        <v>910</v>
      </c>
      <c r="E109" s="107"/>
      <c r="F109" s="107"/>
    </row>
    <row r="110" spans="1:6" ht="13.5" customHeight="1">
      <c r="A110" s="107"/>
      <c r="B110" s="107"/>
      <c r="C110" s="107"/>
      <c r="D110" s="107"/>
      <c r="E110" s="107"/>
      <c r="F110" s="107"/>
    </row>
    <row r="111" spans="1:6" ht="14.25" customHeight="1">
      <c r="A111" s="107"/>
      <c r="B111" s="107"/>
      <c r="C111" s="107"/>
      <c r="D111" s="107"/>
      <c r="E111" s="107"/>
      <c r="F111" s="107"/>
    </row>
    <row r="112" spans="1:6" ht="11.25" customHeight="1">
      <c r="A112" s="107"/>
      <c r="B112" s="107"/>
      <c r="C112" s="107"/>
      <c r="D112" s="107"/>
      <c r="E112" s="107"/>
      <c r="F112" s="107"/>
    </row>
    <row r="113" spans="1:6" ht="12.75" customHeight="1">
      <c r="A113" s="107"/>
      <c r="B113" s="107"/>
      <c r="C113" s="107"/>
      <c r="D113" s="107"/>
      <c r="E113" s="107"/>
      <c r="F113" s="107"/>
    </row>
    <row r="114" spans="1:6" ht="13.5" customHeight="1">
      <c r="A114" s="107"/>
      <c r="B114" s="107"/>
      <c r="C114" s="107"/>
      <c r="D114" s="107"/>
      <c r="E114" s="107"/>
      <c r="F114" s="107"/>
    </row>
    <row r="115" spans="1:6" ht="12.75" customHeight="1">
      <c r="A115" s="107"/>
      <c r="B115" s="107"/>
      <c r="C115" s="107"/>
      <c r="D115" s="107"/>
      <c r="E115" s="107"/>
      <c r="F115" s="107"/>
    </row>
    <row r="116" spans="1:6" ht="18" customHeight="1">
      <c r="A116" s="567"/>
      <c r="B116" s="566"/>
      <c r="C116" s="566"/>
      <c r="D116" s="566"/>
      <c r="E116" s="566"/>
      <c r="F116" s="566"/>
    </row>
    <row r="117" spans="1:6" ht="14.25" customHeight="1">
      <c r="A117" s="107"/>
      <c r="B117" s="107"/>
      <c r="C117" s="107"/>
      <c r="D117" s="107"/>
      <c r="E117" s="107"/>
      <c r="F117" s="107"/>
    </row>
    <row r="118" spans="1:6" ht="14.25" customHeight="1">
      <c r="A118" s="107"/>
      <c r="B118" s="107"/>
      <c r="C118" s="107"/>
      <c r="D118" s="107"/>
      <c r="E118" s="107"/>
      <c r="F118" s="107"/>
    </row>
    <row r="119" spans="1:6" ht="15" customHeight="1">
      <c r="A119" s="37"/>
      <c r="B119" s="107"/>
      <c r="C119" s="107"/>
      <c r="D119" s="107"/>
      <c r="E119" s="107"/>
      <c r="F119" s="107"/>
    </row>
    <row r="120" spans="1:6" ht="13.5" customHeight="1">
      <c r="A120" s="107"/>
      <c r="B120" s="107"/>
      <c r="C120" s="107"/>
      <c r="D120" s="107"/>
      <c r="E120" s="107"/>
      <c r="F120" s="107"/>
    </row>
    <row r="121" spans="1:6" ht="15.75" customHeight="1">
      <c r="A121" s="107"/>
      <c r="B121" s="107"/>
      <c r="C121" s="107"/>
      <c r="D121" s="107"/>
      <c r="E121" s="107"/>
      <c r="F121" s="107"/>
    </row>
    <row r="122" spans="1:6" ht="15.75" customHeight="1">
      <c r="A122" s="107"/>
      <c r="B122" s="107"/>
      <c r="C122" s="107"/>
      <c r="D122" s="107"/>
      <c r="E122" s="107"/>
      <c r="F122" s="107"/>
    </row>
    <row r="123" spans="1:6" ht="15" customHeight="1">
      <c r="A123" s="107"/>
      <c r="B123" s="107"/>
      <c r="C123" s="107"/>
      <c r="D123" s="107"/>
      <c r="E123" s="107"/>
      <c r="F123" s="107"/>
    </row>
    <row r="124" spans="1:6" ht="24.75" customHeight="1">
      <c r="A124" s="568"/>
      <c r="B124" s="568"/>
      <c r="C124" s="568"/>
      <c r="D124" s="568"/>
      <c r="E124" s="568"/>
      <c r="F124" s="568"/>
    </row>
    <row r="125" spans="1:6" ht="54.75" customHeight="1">
      <c r="A125" s="568"/>
      <c r="B125" s="568"/>
      <c r="C125" s="568"/>
      <c r="D125" s="568"/>
      <c r="E125" s="568"/>
      <c r="F125" s="568"/>
    </row>
    <row r="126" spans="1:6" ht="18" customHeight="1" hidden="1">
      <c r="A126" s="107"/>
      <c r="B126" s="107"/>
      <c r="C126" s="107"/>
      <c r="D126" s="107"/>
      <c r="E126" s="107"/>
      <c r="F126" s="107"/>
    </row>
    <row r="127" spans="1:6" ht="15.75" customHeight="1" hidden="1">
      <c r="A127" s="107"/>
      <c r="B127" s="107"/>
      <c r="C127" s="107"/>
      <c r="D127" s="107"/>
      <c r="E127" s="107"/>
      <c r="F127" s="107"/>
    </row>
    <row r="128" spans="1:6" ht="12.75">
      <c r="A128" s="107"/>
      <c r="B128" s="107"/>
      <c r="C128" s="107"/>
      <c r="D128" s="107"/>
      <c r="E128" s="107"/>
      <c r="F128" s="107"/>
    </row>
    <row r="129" spans="1:6" ht="47.25" customHeight="1">
      <c r="A129" s="570"/>
      <c r="B129" s="570"/>
      <c r="C129" s="570"/>
      <c r="D129" s="570"/>
      <c r="E129" s="570"/>
      <c r="F129" s="570"/>
    </row>
    <row r="130" spans="1:6" ht="26.25" customHeight="1">
      <c r="A130" s="568"/>
      <c r="B130" s="568"/>
      <c r="C130" s="568"/>
      <c r="D130" s="568"/>
      <c r="E130" s="568"/>
      <c r="F130" s="568"/>
    </row>
    <row r="131" spans="1:6" ht="16.5" customHeight="1">
      <c r="A131" s="37"/>
      <c r="B131" s="107"/>
      <c r="C131" s="107"/>
      <c r="D131" s="107"/>
      <c r="E131" s="107"/>
      <c r="F131" s="107"/>
    </row>
    <row r="132" spans="1:6" ht="15" customHeight="1">
      <c r="A132" s="568"/>
      <c r="B132" s="568"/>
      <c r="C132" s="568"/>
      <c r="D132" s="568"/>
      <c r="E132" s="568"/>
      <c r="F132" s="568"/>
    </row>
    <row r="133" spans="1:6" ht="37.5" customHeight="1">
      <c r="A133" s="568"/>
      <c r="B133" s="568"/>
      <c r="C133" s="568"/>
      <c r="D133" s="568"/>
      <c r="E133" s="568"/>
      <c r="F133" s="568"/>
    </row>
    <row r="134" spans="1:6" ht="27.75" customHeight="1">
      <c r="A134" s="568"/>
      <c r="B134" s="568"/>
      <c r="C134" s="568"/>
      <c r="D134" s="568"/>
      <c r="E134" s="568"/>
      <c r="F134" s="568"/>
    </row>
    <row r="135" spans="1:6" ht="27.75" customHeight="1">
      <c r="A135" s="568"/>
      <c r="B135" s="568"/>
      <c r="C135" s="568"/>
      <c r="D135" s="568"/>
      <c r="E135" s="568"/>
      <c r="F135" s="568"/>
    </row>
    <row r="136" spans="1:6" ht="12.75">
      <c r="A136" s="567"/>
      <c r="B136" s="566"/>
      <c r="C136" s="566"/>
      <c r="D136" s="566"/>
      <c r="E136" s="566"/>
      <c r="F136" s="566"/>
    </row>
    <row r="137" spans="1:6" ht="12.75">
      <c r="A137" s="107"/>
      <c r="B137" s="107"/>
      <c r="C137" s="107"/>
      <c r="D137" s="107"/>
      <c r="E137" s="107"/>
      <c r="F137" s="107"/>
    </row>
    <row r="138" spans="1:6" ht="12.75">
      <c r="A138" s="107"/>
      <c r="B138" s="107"/>
      <c r="C138" s="107"/>
      <c r="D138" s="107"/>
      <c r="E138" s="107"/>
      <c r="F138" s="107"/>
    </row>
    <row r="139" spans="1:6" ht="12.75">
      <c r="A139" s="107"/>
      <c r="B139" s="107"/>
      <c r="C139" s="107"/>
      <c r="D139" s="107"/>
      <c r="E139" s="107"/>
      <c r="F139" s="107"/>
    </row>
    <row r="140" spans="1:6" ht="12.75">
      <c r="A140" s="107"/>
      <c r="B140" s="107"/>
      <c r="C140" s="107"/>
      <c r="D140" s="107"/>
      <c r="E140" s="107"/>
      <c r="F140" s="107"/>
    </row>
    <row r="141" spans="1:6" ht="29.25" customHeight="1">
      <c r="A141" s="107"/>
      <c r="B141" s="107"/>
      <c r="C141" s="107"/>
      <c r="D141" s="569"/>
      <c r="E141" s="569"/>
      <c r="F141" s="569"/>
    </row>
  </sheetData>
  <mergeCells count="18">
    <mergeCell ref="D141:F141"/>
    <mergeCell ref="A136:F136"/>
    <mergeCell ref="A132:F132"/>
    <mergeCell ref="A129:F129"/>
    <mergeCell ref="A130:F130"/>
    <mergeCell ref="A134:F134"/>
    <mergeCell ref="A135:F135"/>
    <mergeCell ref="A133:F133"/>
    <mergeCell ref="A108:F108"/>
    <mergeCell ref="A116:F116"/>
    <mergeCell ref="A125:F125"/>
    <mergeCell ref="A124:F124"/>
    <mergeCell ref="D3:D4"/>
    <mergeCell ref="E3:E4"/>
    <mergeCell ref="F3:F4"/>
    <mergeCell ref="C1:F1"/>
    <mergeCell ref="A2:F2"/>
    <mergeCell ref="A3:C3"/>
  </mergeCells>
  <printOptions/>
  <pageMargins left="0.7874015748031497" right="0.7874015748031497" top="0.3937007874015748" bottom="0.7874015748031497" header="0.5118110236220472" footer="0.5118110236220472"/>
  <pageSetup horizontalDpi="360" verticalDpi="360" orientation="portrait" paperSize="9" scale="94" r:id="rId1"/>
  <headerFooter alignWithMargins="0"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O27"/>
  <sheetViews>
    <sheetView workbookViewId="0" topLeftCell="A1">
      <selection activeCell="M11" sqref="M11"/>
    </sheetView>
  </sheetViews>
  <sheetFormatPr defaultColWidth="9.00390625" defaultRowHeight="12.75"/>
  <cols>
    <col min="1" max="1" width="3.75390625" style="0" customWidth="1"/>
    <col min="2" max="2" width="6.375" style="0" customWidth="1"/>
    <col min="3" max="3" width="25.00390625" style="0" customWidth="1"/>
    <col min="4" max="4" width="11.375" style="0" customWidth="1"/>
    <col min="5" max="5" width="10.375" style="0" customWidth="1"/>
    <col min="6" max="6" width="11.625" style="0" customWidth="1"/>
    <col min="7" max="7" width="9.625" style="0" customWidth="1"/>
    <col min="8" max="8" width="10.125" style="0" hidden="1" customWidth="1"/>
    <col min="9" max="9" width="8.625" style="0" customWidth="1"/>
    <col min="10" max="10" width="10.25390625" style="0" customWidth="1"/>
    <col min="11" max="11" width="10.00390625" style="0" customWidth="1"/>
    <col min="12" max="13" width="9.875" style="0" customWidth="1"/>
    <col min="14" max="14" width="16.25390625" style="0" customWidth="1"/>
  </cols>
  <sheetData>
    <row r="2" spans="4:14" ht="17.25" customHeight="1">
      <c r="D2" s="104"/>
      <c r="E2" s="104"/>
      <c r="I2" s="576" t="s">
        <v>267</v>
      </c>
      <c r="J2" s="576"/>
      <c r="K2" s="576"/>
      <c r="L2" s="576"/>
      <c r="M2" s="576"/>
      <c r="N2" s="576"/>
    </row>
    <row r="3" spans="1:14" ht="27" customHeight="1">
      <c r="A3" s="581" t="s">
        <v>936</v>
      </c>
      <c r="B3" s="581"/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581"/>
      <c r="N3" s="581"/>
    </row>
    <row r="4" spans="1:14" ht="24.75" customHeight="1">
      <c r="A4" s="573" t="s">
        <v>597</v>
      </c>
      <c r="B4" s="573" t="s">
        <v>598</v>
      </c>
      <c r="C4" s="572" t="s">
        <v>830</v>
      </c>
      <c r="D4" s="572" t="s">
        <v>929</v>
      </c>
      <c r="E4" s="574" t="s">
        <v>928</v>
      </c>
      <c r="F4" s="582" t="s">
        <v>831</v>
      </c>
      <c r="G4" s="582"/>
      <c r="H4" s="582"/>
      <c r="I4" s="582"/>
      <c r="J4" s="582"/>
      <c r="K4" s="582"/>
      <c r="L4" s="582"/>
      <c r="M4" s="582"/>
      <c r="N4" s="580" t="s">
        <v>832</v>
      </c>
    </row>
    <row r="5" spans="1:14" ht="12.75" customHeight="1">
      <c r="A5" s="573"/>
      <c r="B5" s="573"/>
      <c r="C5" s="572"/>
      <c r="D5" s="572"/>
      <c r="E5" s="583"/>
      <c r="F5" s="574" t="s">
        <v>937</v>
      </c>
      <c r="G5" s="582" t="s">
        <v>833</v>
      </c>
      <c r="H5" s="582"/>
      <c r="I5" s="582"/>
      <c r="J5" s="582"/>
      <c r="K5" s="205"/>
      <c r="L5" s="573" t="s">
        <v>235</v>
      </c>
      <c r="M5" s="573" t="s">
        <v>939</v>
      </c>
      <c r="N5" s="580"/>
    </row>
    <row r="6" spans="1:14" ht="58.5" customHeight="1">
      <c r="A6" s="573"/>
      <c r="B6" s="573"/>
      <c r="C6" s="572"/>
      <c r="D6" s="572"/>
      <c r="E6" s="575"/>
      <c r="F6" s="575"/>
      <c r="G6" s="203" t="s">
        <v>834</v>
      </c>
      <c r="H6" s="203" t="s">
        <v>835</v>
      </c>
      <c r="I6" s="203" t="s">
        <v>466</v>
      </c>
      <c r="J6" s="203" t="s">
        <v>938</v>
      </c>
      <c r="K6" s="203" t="s">
        <v>947</v>
      </c>
      <c r="L6" s="573"/>
      <c r="M6" s="573"/>
      <c r="N6" s="580"/>
    </row>
    <row r="7" spans="1:14" ht="12.75">
      <c r="A7" s="198">
        <v>1</v>
      </c>
      <c r="B7" s="198">
        <v>2</v>
      </c>
      <c r="C7" s="198">
        <v>4</v>
      </c>
      <c r="D7" s="198">
        <v>5</v>
      </c>
      <c r="E7" s="198">
        <v>6</v>
      </c>
      <c r="F7" s="198">
        <v>7</v>
      </c>
      <c r="G7" s="198">
        <v>8</v>
      </c>
      <c r="H7" s="198">
        <v>8</v>
      </c>
      <c r="I7" s="198">
        <v>9</v>
      </c>
      <c r="J7" s="198">
        <v>10</v>
      </c>
      <c r="K7" s="198">
        <v>11</v>
      </c>
      <c r="L7" s="198">
        <v>12</v>
      </c>
      <c r="M7" s="199">
        <v>13</v>
      </c>
      <c r="N7" s="198">
        <v>14</v>
      </c>
    </row>
    <row r="8" spans="1:14" ht="47.25" customHeight="1" hidden="1">
      <c r="A8" s="220">
        <v>600</v>
      </c>
      <c r="B8" s="220">
        <v>60014</v>
      </c>
      <c r="C8" s="213" t="s">
        <v>836</v>
      </c>
      <c r="D8" s="106">
        <f>F8+L8+M8</f>
        <v>0</v>
      </c>
      <c r="E8" s="106"/>
      <c r="F8" s="106">
        <f>G8+H8+J8+I8</f>
        <v>0</v>
      </c>
      <c r="G8" s="106"/>
      <c r="H8" s="106"/>
      <c r="I8" s="106"/>
      <c r="J8" s="106"/>
      <c r="K8" s="106"/>
      <c r="L8" s="106"/>
      <c r="M8" s="106"/>
      <c r="N8" s="221" t="s">
        <v>828</v>
      </c>
    </row>
    <row r="9" spans="1:14" ht="30" customHeight="1">
      <c r="A9" s="346">
        <v>600</v>
      </c>
      <c r="B9" s="346">
        <v>60014</v>
      </c>
      <c r="C9" s="430" t="s">
        <v>507</v>
      </c>
      <c r="D9" s="462">
        <f>E9+F9+L9+M9</f>
        <v>1307847</v>
      </c>
      <c r="E9" s="462">
        <v>573219</v>
      </c>
      <c r="F9" s="462">
        <f aca="true" t="shared" si="0" ref="F9:F19">G9+H9+J9+I9+K9</f>
        <v>734628</v>
      </c>
      <c r="G9" s="462">
        <v>50000</v>
      </c>
      <c r="H9" s="462">
        <v>0</v>
      </c>
      <c r="I9" s="462">
        <v>88500</v>
      </c>
      <c r="J9" s="462">
        <v>75157</v>
      </c>
      <c r="K9" s="462">
        <v>520971</v>
      </c>
      <c r="L9" s="462">
        <v>0</v>
      </c>
      <c r="M9" s="462">
        <v>0</v>
      </c>
      <c r="N9" s="430" t="s">
        <v>828</v>
      </c>
    </row>
    <row r="10" spans="1:14" ht="30" customHeight="1">
      <c r="A10" s="346">
        <v>600</v>
      </c>
      <c r="B10" s="346">
        <v>60014</v>
      </c>
      <c r="C10" s="430" t="s">
        <v>506</v>
      </c>
      <c r="D10" s="462">
        <f aca="true" t="shared" si="1" ref="D10:D20">E10+F10+L10+M10</f>
        <v>6172991</v>
      </c>
      <c r="E10" s="462">
        <v>1962690</v>
      </c>
      <c r="F10" s="462">
        <f t="shared" si="0"/>
        <v>1956046</v>
      </c>
      <c r="G10" s="462">
        <v>20000</v>
      </c>
      <c r="H10" s="462">
        <v>0</v>
      </c>
      <c r="I10" s="462">
        <v>294500</v>
      </c>
      <c r="J10" s="462">
        <v>174512</v>
      </c>
      <c r="K10" s="462">
        <v>1467034</v>
      </c>
      <c r="L10" s="462">
        <v>2254255</v>
      </c>
      <c r="M10" s="462">
        <v>0</v>
      </c>
      <c r="N10" s="430" t="s">
        <v>828</v>
      </c>
    </row>
    <row r="11" spans="1:14" ht="21.75" customHeight="1">
      <c r="A11" s="346">
        <v>600</v>
      </c>
      <c r="B11" s="346">
        <v>60014</v>
      </c>
      <c r="C11" s="430" t="s">
        <v>508</v>
      </c>
      <c r="D11" s="462">
        <f t="shared" si="1"/>
        <v>43000</v>
      </c>
      <c r="E11" s="462">
        <v>0</v>
      </c>
      <c r="F11" s="462">
        <f t="shared" si="0"/>
        <v>43000</v>
      </c>
      <c r="G11" s="462">
        <v>43000</v>
      </c>
      <c r="H11" s="462"/>
      <c r="I11" s="462"/>
      <c r="J11" s="462"/>
      <c r="K11" s="462"/>
      <c r="L11" s="462"/>
      <c r="M11" s="462"/>
      <c r="N11" s="430"/>
    </row>
    <row r="12" spans="1:14" ht="21.75" customHeight="1">
      <c r="A12" s="346">
        <v>600</v>
      </c>
      <c r="B12" s="346">
        <v>60014</v>
      </c>
      <c r="C12" s="430" t="s">
        <v>942</v>
      </c>
      <c r="D12" s="462">
        <f t="shared" si="1"/>
        <v>100000</v>
      </c>
      <c r="E12" s="462">
        <v>0</v>
      </c>
      <c r="F12" s="462">
        <f t="shared" si="0"/>
        <v>100000</v>
      </c>
      <c r="G12" s="462">
        <v>100000</v>
      </c>
      <c r="H12" s="462"/>
      <c r="I12" s="462">
        <v>0</v>
      </c>
      <c r="J12" s="462">
        <v>0</v>
      </c>
      <c r="K12" s="462">
        <v>0</v>
      </c>
      <c r="L12" s="462">
        <v>0</v>
      </c>
      <c r="M12" s="462">
        <v>0</v>
      </c>
      <c r="N12" s="463" t="s">
        <v>837</v>
      </c>
    </row>
    <row r="13" spans="1:14" ht="20.25" customHeight="1">
      <c r="A13" s="346">
        <v>600</v>
      </c>
      <c r="B13" s="346">
        <v>60014</v>
      </c>
      <c r="C13" s="430" t="s">
        <v>948</v>
      </c>
      <c r="D13" s="462">
        <f t="shared" si="1"/>
        <v>10000</v>
      </c>
      <c r="E13" s="462">
        <v>0</v>
      </c>
      <c r="F13" s="462">
        <f t="shared" si="0"/>
        <v>10000</v>
      </c>
      <c r="G13" s="462">
        <v>10000</v>
      </c>
      <c r="H13" s="462"/>
      <c r="I13" s="462"/>
      <c r="J13" s="462"/>
      <c r="K13" s="462"/>
      <c r="L13" s="462"/>
      <c r="M13" s="462"/>
      <c r="N13" s="430" t="s">
        <v>828</v>
      </c>
    </row>
    <row r="14" spans="1:15" ht="30" customHeight="1">
      <c r="A14" s="209">
        <v>851</v>
      </c>
      <c r="B14" s="209">
        <v>85111</v>
      </c>
      <c r="C14" s="465" t="s">
        <v>967</v>
      </c>
      <c r="D14" s="462">
        <f t="shared" si="1"/>
        <v>6980000</v>
      </c>
      <c r="E14" s="462">
        <v>101860</v>
      </c>
      <c r="F14" s="462">
        <f t="shared" si="0"/>
        <v>2674262</v>
      </c>
      <c r="G14" s="464">
        <v>523500</v>
      </c>
      <c r="H14" s="464">
        <v>0</v>
      </c>
      <c r="I14" s="464">
        <v>0</v>
      </c>
      <c r="J14" s="464">
        <v>349000</v>
      </c>
      <c r="K14" s="464">
        <v>1801762</v>
      </c>
      <c r="L14" s="464">
        <v>3096542</v>
      </c>
      <c r="M14" s="464">
        <v>1107336</v>
      </c>
      <c r="N14" s="463" t="s">
        <v>837</v>
      </c>
      <c r="O14" s="188"/>
    </row>
    <row r="15" spans="1:15" ht="32.25" customHeight="1">
      <c r="A15" s="209">
        <v>851</v>
      </c>
      <c r="B15" s="209">
        <v>85111</v>
      </c>
      <c r="C15" s="465" t="s">
        <v>968</v>
      </c>
      <c r="D15" s="462">
        <f t="shared" si="1"/>
        <v>49676</v>
      </c>
      <c r="E15" s="462">
        <v>0</v>
      </c>
      <c r="F15" s="462">
        <f t="shared" si="0"/>
        <v>49676</v>
      </c>
      <c r="G15" s="464">
        <v>49676</v>
      </c>
      <c r="H15" s="464"/>
      <c r="I15" s="464">
        <v>0</v>
      </c>
      <c r="J15" s="464">
        <v>0</v>
      </c>
      <c r="K15" s="464">
        <v>0</v>
      </c>
      <c r="L15" s="464">
        <v>0</v>
      </c>
      <c r="M15" s="464">
        <v>0</v>
      </c>
      <c r="N15" s="463" t="s">
        <v>837</v>
      </c>
      <c r="O15" s="188"/>
    </row>
    <row r="16" spans="1:15" ht="20.25" customHeight="1">
      <c r="A16" s="209">
        <v>852</v>
      </c>
      <c r="B16" s="209">
        <v>85202</v>
      </c>
      <c r="C16" s="465" t="s">
        <v>943</v>
      </c>
      <c r="D16" s="462">
        <f t="shared" si="1"/>
        <v>110000</v>
      </c>
      <c r="E16" s="464">
        <v>0</v>
      </c>
      <c r="F16" s="464">
        <f t="shared" si="0"/>
        <v>110000</v>
      </c>
      <c r="G16" s="464">
        <v>55000</v>
      </c>
      <c r="H16" s="464"/>
      <c r="I16" s="464">
        <v>0</v>
      </c>
      <c r="J16" s="464">
        <v>55000</v>
      </c>
      <c r="K16" s="464">
        <v>0</v>
      </c>
      <c r="L16" s="464">
        <v>0</v>
      </c>
      <c r="M16" s="464">
        <v>0</v>
      </c>
      <c r="N16" s="463" t="s">
        <v>950</v>
      </c>
      <c r="O16" s="188"/>
    </row>
    <row r="17" spans="1:15" ht="21" customHeight="1">
      <c r="A17" s="209">
        <v>853</v>
      </c>
      <c r="B17" s="209">
        <v>85333</v>
      </c>
      <c r="C17" s="465" t="s">
        <v>945</v>
      </c>
      <c r="D17" s="462">
        <f t="shared" si="1"/>
        <v>25000</v>
      </c>
      <c r="E17" s="462">
        <v>0</v>
      </c>
      <c r="F17" s="464">
        <f t="shared" si="0"/>
        <v>25000</v>
      </c>
      <c r="G17" s="464">
        <v>25000</v>
      </c>
      <c r="H17" s="464"/>
      <c r="I17" s="464">
        <v>0</v>
      </c>
      <c r="J17" s="464">
        <v>0</v>
      </c>
      <c r="K17" s="464">
        <v>0</v>
      </c>
      <c r="L17" s="464">
        <v>0</v>
      </c>
      <c r="M17" s="464">
        <v>0</v>
      </c>
      <c r="N17" s="463" t="s">
        <v>944</v>
      </c>
      <c r="O17" s="188"/>
    </row>
    <row r="18" spans="1:15" ht="32.25" customHeight="1">
      <c r="A18" s="209">
        <v>854</v>
      </c>
      <c r="B18" s="209">
        <v>85410</v>
      </c>
      <c r="C18" s="465" t="s">
        <v>941</v>
      </c>
      <c r="D18" s="464">
        <f t="shared" si="1"/>
        <v>624500</v>
      </c>
      <c r="E18" s="462">
        <v>13100</v>
      </c>
      <c r="F18" s="462">
        <f t="shared" si="0"/>
        <v>611400</v>
      </c>
      <c r="G18" s="464">
        <v>161400</v>
      </c>
      <c r="H18" s="464"/>
      <c r="I18" s="464">
        <v>0</v>
      </c>
      <c r="J18" s="464">
        <v>0</v>
      </c>
      <c r="K18" s="464">
        <v>450000</v>
      </c>
      <c r="L18" s="464">
        <v>0</v>
      </c>
      <c r="M18" s="464">
        <v>0</v>
      </c>
      <c r="N18" s="463" t="s">
        <v>940</v>
      </c>
      <c r="O18" s="188"/>
    </row>
    <row r="19" spans="1:15" ht="24" customHeight="1" thickBot="1">
      <c r="A19" s="214">
        <v>921</v>
      </c>
      <c r="B19" s="214">
        <v>92116</v>
      </c>
      <c r="C19" s="470" t="s">
        <v>946</v>
      </c>
      <c r="D19" s="473">
        <f t="shared" si="1"/>
        <v>65000</v>
      </c>
      <c r="E19" s="471">
        <v>0</v>
      </c>
      <c r="F19" s="462">
        <f t="shared" si="0"/>
        <v>65000</v>
      </c>
      <c r="G19" s="462">
        <v>0</v>
      </c>
      <c r="H19" s="462"/>
      <c r="I19" s="462">
        <v>0</v>
      </c>
      <c r="J19" s="462">
        <v>65000</v>
      </c>
      <c r="K19" s="462">
        <v>0</v>
      </c>
      <c r="L19" s="462">
        <v>0</v>
      </c>
      <c r="M19" s="462"/>
      <c r="N19" s="466" t="s">
        <v>837</v>
      </c>
      <c r="O19" s="188"/>
    </row>
    <row r="20" spans="1:14" s="469" customFormat="1" ht="26.25" customHeight="1" thickBot="1">
      <c r="A20" s="577" t="s">
        <v>838</v>
      </c>
      <c r="B20" s="578"/>
      <c r="C20" s="579"/>
      <c r="D20" s="467">
        <f t="shared" si="1"/>
        <v>15488014</v>
      </c>
      <c r="E20" s="472">
        <f>E9+E10+E11+E12+E13+E14+E15+E16+E17+E18+E19</f>
        <v>2650869</v>
      </c>
      <c r="F20" s="472">
        <f aca="true" t="shared" si="2" ref="F20:M20">F9+F10+F11+F12+F13+F14+F15+F16+F17+F18+F19</f>
        <v>6379012</v>
      </c>
      <c r="G20" s="472">
        <f t="shared" si="2"/>
        <v>1037576</v>
      </c>
      <c r="H20" s="472">
        <f t="shared" si="2"/>
        <v>0</v>
      </c>
      <c r="I20" s="472">
        <f t="shared" si="2"/>
        <v>383000</v>
      </c>
      <c r="J20" s="472">
        <f t="shared" si="2"/>
        <v>718669</v>
      </c>
      <c r="K20" s="472">
        <f t="shared" si="2"/>
        <v>4239767</v>
      </c>
      <c r="L20" s="472">
        <f t="shared" si="2"/>
        <v>5350797</v>
      </c>
      <c r="M20" s="472">
        <f t="shared" si="2"/>
        <v>1107336</v>
      </c>
      <c r="N20" s="468"/>
    </row>
    <row r="21" spans="1:11" ht="16.5" customHeight="1">
      <c r="A21" s="201" t="s">
        <v>236</v>
      </c>
      <c r="B21" s="201"/>
      <c r="C21" s="201"/>
      <c r="D21" s="201"/>
      <c r="E21" s="201"/>
      <c r="F21" s="201"/>
      <c r="G21" s="201"/>
      <c r="H21" s="201"/>
      <c r="I21" s="201"/>
      <c r="J21" s="201"/>
      <c r="K21" s="201"/>
    </row>
    <row r="22" spans="1:13" ht="12.75">
      <c r="A22" s="201" t="s">
        <v>930</v>
      </c>
      <c r="B22" s="201"/>
      <c r="C22" s="201"/>
      <c r="D22" s="201"/>
      <c r="E22" s="201"/>
      <c r="F22" s="201"/>
      <c r="G22" s="201"/>
      <c r="H22" s="201"/>
      <c r="I22" s="201"/>
      <c r="J22" s="571" t="s">
        <v>233</v>
      </c>
      <c r="K22" s="571"/>
      <c r="L22" s="571"/>
      <c r="M22" s="571"/>
    </row>
    <row r="23" spans="1:13" ht="23.25" customHeight="1">
      <c r="A23" s="201" t="s">
        <v>122</v>
      </c>
      <c r="B23" s="201"/>
      <c r="C23" s="201"/>
      <c r="D23" s="201"/>
      <c r="E23" s="201"/>
      <c r="F23" s="201"/>
      <c r="G23" s="201"/>
      <c r="H23" s="201"/>
      <c r="I23" s="201"/>
      <c r="J23" s="571" t="s">
        <v>949</v>
      </c>
      <c r="K23" s="571"/>
      <c r="L23" s="571"/>
      <c r="M23" s="571"/>
    </row>
    <row r="24" spans="1:11" ht="12.75" hidden="1">
      <c r="A24" s="201"/>
      <c r="B24" s="201"/>
      <c r="C24" s="201"/>
      <c r="D24" s="201"/>
      <c r="E24" s="201"/>
      <c r="F24" s="201"/>
      <c r="G24" s="201"/>
      <c r="H24" s="201"/>
      <c r="I24" s="201"/>
      <c r="J24" s="201"/>
      <c r="K24" s="201"/>
    </row>
    <row r="25" spans="1:11" ht="12.75">
      <c r="A25" s="201"/>
      <c r="B25" s="201"/>
      <c r="C25" s="201"/>
      <c r="D25" s="201"/>
      <c r="E25" s="201"/>
      <c r="F25" s="201"/>
      <c r="G25" s="201"/>
      <c r="H25" s="201"/>
      <c r="I25" s="201"/>
      <c r="J25" s="201"/>
      <c r="K25" s="201"/>
    </row>
    <row r="26" spans="1:11" ht="12.75">
      <c r="A26" s="201"/>
      <c r="B26" s="201"/>
      <c r="C26" s="201"/>
      <c r="D26" s="201"/>
      <c r="E26" s="201"/>
      <c r="F26" s="201"/>
      <c r="G26" s="201"/>
      <c r="H26" s="201"/>
      <c r="I26" s="201"/>
      <c r="J26" s="201"/>
      <c r="K26" s="201"/>
    </row>
    <row r="27" spans="1:11" ht="12.75">
      <c r="A27" s="201"/>
      <c r="B27" s="201"/>
      <c r="C27" s="201"/>
      <c r="D27" s="201"/>
      <c r="E27" s="201"/>
      <c r="F27" s="201"/>
      <c r="G27" s="201"/>
      <c r="H27" s="201"/>
      <c r="I27" s="201"/>
      <c r="J27" s="201"/>
      <c r="K27" s="201"/>
    </row>
    <row r="28" ht="12" customHeight="1"/>
    <row r="29" ht="12.75" hidden="1"/>
    <row r="30" ht="18" customHeight="1"/>
  </sheetData>
  <mergeCells count="16">
    <mergeCell ref="I2:N2"/>
    <mergeCell ref="A20:C20"/>
    <mergeCell ref="M5:M6"/>
    <mergeCell ref="N4:N6"/>
    <mergeCell ref="A3:N3"/>
    <mergeCell ref="A4:A6"/>
    <mergeCell ref="B4:B6"/>
    <mergeCell ref="G5:J5"/>
    <mergeCell ref="F4:M4"/>
    <mergeCell ref="E4:E6"/>
    <mergeCell ref="J22:M22"/>
    <mergeCell ref="J23:M23"/>
    <mergeCell ref="D4:D6"/>
    <mergeCell ref="C4:C6"/>
    <mergeCell ref="L5:L6"/>
    <mergeCell ref="F5:F6"/>
  </mergeCells>
  <printOptions/>
  <pageMargins left="0.1968503937007874" right="0.07874015748031496" top="0.3937007874015748" bottom="0.1968503937007874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0"/>
  <sheetViews>
    <sheetView workbookViewId="0" topLeftCell="C1">
      <selection activeCell="I2" sqref="I2"/>
    </sheetView>
  </sheetViews>
  <sheetFormatPr defaultColWidth="9.00390625" defaultRowHeight="12.75"/>
  <cols>
    <col min="1" max="1" width="5.625" style="0" customWidth="1"/>
    <col min="4" max="4" width="26.125" style="0" customWidth="1"/>
    <col min="6" max="6" width="13.625" style="0" customWidth="1"/>
    <col min="7" max="7" width="9.75390625" style="0" customWidth="1"/>
    <col min="8" max="8" width="15.00390625" style="0" customWidth="1"/>
  </cols>
  <sheetData>
    <row r="1" spans="7:8" ht="65.25" customHeight="1">
      <c r="G1" s="590" t="s">
        <v>205</v>
      </c>
      <c r="H1" s="590"/>
    </row>
    <row r="3" ht="12" customHeight="1"/>
    <row r="4" spans="3:15" s="368" customFormat="1" ht="15" customHeight="1">
      <c r="C4" s="584" t="s">
        <v>796</v>
      </c>
      <c r="D4" s="584"/>
      <c r="E4" s="584"/>
      <c r="F4" s="584"/>
      <c r="G4" s="584"/>
      <c r="H4" s="584"/>
      <c r="I4" s="584"/>
      <c r="J4" s="584"/>
      <c r="K4" s="584"/>
      <c r="L4" s="584"/>
      <c r="M4" s="584"/>
      <c r="N4" s="584"/>
      <c r="O4" s="584"/>
    </row>
    <row r="5" ht="23.25" customHeight="1" thickBot="1">
      <c r="H5" s="201" t="s">
        <v>797</v>
      </c>
    </row>
    <row r="6" spans="1:8" s="107" customFormat="1" ht="36.75" customHeight="1" thickBot="1">
      <c r="A6" s="14" t="s">
        <v>798</v>
      </c>
      <c r="B6" s="14" t="s">
        <v>597</v>
      </c>
      <c r="C6" s="352" t="s">
        <v>598</v>
      </c>
      <c r="D6" s="353" t="s">
        <v>799</v>
      </c>
      <c r="E6" s="585" t="s">
        <v>800</v>
      </c>
      <c r="F6" s="585"/>
      <c r="G6" s="559" t="s">
        <v>801</v>
      </c>
      <c r="H6" s="559"/>
    </row>
    <row r="7" spans="1:8" s="373" customFormat="1" ht="9.75">
      <c r="A7" s="369">
        <v>1</v>
      </c>
      <c r="B7" s="370">
        <v>2</v>
      </c>
      <c r="C7" s="371">
        <v>3</v>
      </c>
      <c r="D7" s="372">
        <v>4</v>
      </c>
      <c r="E7" s="587">
        <v>5</v>
      </c>
      <c r="F7" s="587"/>
      <c r="G7" s="587">
        <v>6</v>
      </c>
      <c r="H7" s="587"/>
    </row>
    <row r="8" spans="1:8" ht="57" customHeight="1">
      <c r="A8" s="374" t="s">
        <v>687</v>
      </c>
      <c r="B8" s="95">
        <v>750</v>
      </c>
      <c r="C8" s="374">
        <v>75020</v>
      </c>
      <c r="D8" s="375" t="s">
        <v>802</v>
      </c>
      <c r="E8" s="591">
        <v>0</v>
      </c>
      <c r="F8" s="592"/>
      <c r="G8" s="591" t="s">
        <v>803</v>
      </c>
      <c r="H8" s="592"/>
    </row>
    <row r="9" spans="1:8" ht="18.75" customHeight="1">
      <c r="A9" s="98"/>
      <c r="B9" s="310"/>
      <c r="C9" s="98"/>
      <c r="D9" s="310"/>
      <c r="E9" s="588"/>
      <c r="F9" s="588"/>
      <c r="G9" s="588"/>
      <c r="H9" s="588"/>
    </row>
    <row r="10" spans="1:8" ht="20.25" customHeight="1">
      <c r="A10" s="98"/>
      <c r="B10" s="310"/>
      <c r="C10" s="98"/>
      <c r="D10" s="310"/>
      <c r="E10" s="588"/>
      <c r="F10" s="588"/>
      <c r="G10" s="588"/>
      <c r="H10" s="588"/>
    </row>
    <row r="11" spans="1:8" ht="21" customHeight="1">
      <c r="A11" s="98"/>
      <c r="B11" s="310"/>
      <c r="C11" s="98"/>
      <c r="D11" s="310"/>
      <c r="E11" s="588"/>
      <c r="F11" s="588"/>
      <c r="G11" s="588"/>
      <c r="H11" s="588"/>
    </row>
    <row r="12" spans="1:8" ht="18" customHeight="1">
      <c r="A12" s="98"/>
      <c r="B12" s="310"/>
      <c r="C12" s="98"/>
      <c r="D12" s="310"/>
      <c r="E12" s="588"/>
      <c r="F12" s="588"/>
      <c r="G12" s="588"/>
      <c r="H12" s="588"/>
    </row>
    <row r="13" spans="1:8" ht="19.5" customHeight="1">
      <c r="A13" s="98"/>
      <c r="B13" s="310"/>
      <c r="C13" s="98"/>
      <c r="D13" s="310"/>
      <c r="E13" s="588"/>
      <c r="F13" s="588"/>
      <c r="G13" s="588"/>
      <c r="H13" s="588"/>
    </row>
    <row r="14" spans="1:8" ht="21.75" customHeight="1">
      <c r="A14" s="98"/>
      <c r="B14" s="310"/>
      <c r="C14" s="98"/>
      <c r="D14" s="310"/>
      <c r="E14" s="588"/>
      <c r="F14" s="588"/>
      <c r="G14" s="588"/>
      <c r="H14" s="588"/>
    </row>
    <row r="15" spans="1:8" ht="21" customHeight="1" thickBot="1">
      <c r="A15" s="376"/>
      <c r="B15" s="309"/>
      <c r="C15" s="376"/>
      <c r="D15" s="309"/>
      <c r="E15" s="589"/>
      <c r="F15" s="589"/>
      <c r="G15" s="589"/>
      <c r="H15" s="589"/>
    </row>
    <row r="16" spans="1:8" ht="22.5" customHeight="1" thickBot="1">
      <c r="A16" s="586" t="s">
        <v>838</v>
      </c>
      <c r="B16" s="586"/>
      <c r="C16" s="586"/>
      <c r="D16" s="79"/>
      <c r="E16" s="593">
        <f>E8</f>
        <v>0</v>
      </c>
      <c r="F16" s="594"/>
      <c r="G16" s="593" t="str">
        <f>G8</f>
        <v>42.000</v>
      </c>
      <c r="H16" s="594"/>
    </row>
    <row r="17" ht="12.75" hidden="1"/>
    <row r="19" spans="6:8" ht="12.75">
      <c r="F19" s="509" t="s">
        <v>233</v>
      </c>
      <c r="G19" s="509"/>
      <c r="H19" s="509"/>
    </row>
    <row r="20" spans="6:8" ht="24" customHeight="1">
      <c r="F20" s="509" t="s">
        <v>949</v>
      </c>
      <c r="G20" s="509"/>
      <c r="H20" s="509"/>
    </row>
  </sheetData>
  <mergeCells count="27">
    <mergeCell ref="F20:H20"/>
    <mergeCell ref="G1:H1"/>
    <mergeCell ref="G8:H8"/>
    <mergeCell ref="E8:F8"/>
    <mergeCell ref="G16:H16"/>
    <mergeCell ref="E16:F16"/>
    <mergeCell ref="G12:H12"/>
    <mergeCell ref="G13:H13"/>
    <mergeCell ref="G14:H14"/>
    <mergeCell ref="E12:F12"/>
    <mergeCell ref="E13:F13"/>
    <mergeCell ref="E14:F14"/>
    <mergeCell ref="F19:H19"/>
    <mergeCell ref="G9:H9"/>
    <mergeCell ref="G10:H10"/>
    <mergeCell ref="G11:H11"/>
    <mergeCell ref="E11:F11"/>
    <mergeCell ref="C4:O4"/>
    <mergeCell ref="E6:F6"/>
    <mergeCell ref="G6:H6"/>
    <mergeCell ref="A16:C16"/>
    <mergeCell ref="E7:F7"/>
    <mergeCell ref="E9:F9"/>
    <mergeCell ref="E10:F10"/>
    <mergeCell ref="G15:H15"/>
    <mergeCell ref="E15:F15"/>
    <mergeCell ref="G7:H7"/>
  </mergeCells>
  <printOptions/>
  <pageMargins left="1.5748031496062993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065"/>
  <sheetViews>
    <sheetView workbookViewId="0" topLeftCell="E17">
      <selection activeCell="N45" sqref="N45"/>
    </sheetView>
  </sheetViews>
  <sheetFormatPr defaultColWidth="9.00390625" defaultRowHeight="12.75"/>
  <cols>
    <col min="1" max="1" width="5.75390625" style="8" customWidth="1"/>
    <col min="2" max="2" width="21.375" style="0" customWidth="1"/>
    <col min="3" max="3" width="10.875" style="0" customWidth="1"/>
    <col min="4" max="4" width="10.75390625" style="0" customWidth="1"/>
    <col min="8" max="8" width="10.125" style="0" customWidth="1"/>
    <col min="12" max="12" width="10.125" style="0" customWidth="1"/>
    <col min="13" max="13" width="17.00390625" style="0" customWidth="1"/>
    <col min="14" max="14" width="17.875" style="0" customWidth="1"/>
    <col min="16" max="16" width="10.75390625" style="0" customWidth="1"/>
  </cols>
  <sheetData>
    <row r="1" ht="12.75">
      <c r="A1" s="41"/>
    </row>
    <row r="2" spans="1:16" ht="42.75" customHeight="1">
      <c r="A2" s="41"/>
      <c r="N2" s="512" t="s">
        <v>206</v>
      </c>
      <c r="O2" s="512"/>
      <c r="P2" s="512"/>
    </row>
    <row r="3" ht="12.75">
      <c r="A3" s="41"/>
    </row>
    <row r="4" ht="15">
      <c r="A4" s="356" t="s">
        <v>762</v>
      </c>
    </row>
    <row r="5" ht="12.75">
      <c r="A5" s="41"/>
    </row>
    <row r="6" ht="12.75">
      <c r="A6" s="41"/>
    </row>
    <row r="7" spans="1:16" ht="12.75" customHeight="1">
      <c r="A7" s="595" t="s">
        <v>675</v>
      </c>
      <c r="B7" s="515" t="s">
        <v>763</v>
      </c>
      <c r="C7" s="515" t="s">
        <v>764</v>
      </c>
      <c r="D7" s="515" t="s">
        <v>765</v>
      </c>
      <c r="E7" s="565" t="s">
        <v>667</v>
      </c>
      <c r="F7" s="565"/>
      <c r="G7" s="605" t="s">
        <v>766</v>
      </c>
      <c r="H7" s="606"/>
      <c r="I7" s="606"/>
      <c r="J7" s="606"/>
      <c r="K7" s="606"/>
      <c r="L7" s="606"/>
      <c r="M7" s="606"/>
      <c r="N7" s="606"/>
      <c r="O7" s="606"/>
      <c r="P7" s="607"/>
    </row>
    <row r="8" spans="1:16" ht="12.75" customHeight="1">
      <c r="A8" s="596"/>
      <c r="B8" s="611"/>
      <c r="C8" s="611"/>
      <c r="D8" s="611"/>
      <c r="E8" s="598" t="s">
        <v>767</v>
      </c>
      <c r="F8" s="598" t="s">
        <v>768</v>
      </c>
      <c r="G8" s="605" t="s">
        <v>769</v>
      </c>
      <c r="H8" s="606"/>
      <c r="I8" s="606"/>
      <c r="J8" s="606"/>
      <c r="K8" s="606"/>
      <c r="L8" s="606"/>
      <c r="M8" s="606"/>
      <c r="N8" s="606"/>
      <c r="O8" s="606"/>
      <c r="P8" s="607"/>
    </row>
    <row r="9" spans="1:16" ht="12.75" customHeight="1">
      <c r="A9" s="596"/>
      <c r="B9" s="611"/>
      <c r="C9" s="611"/>
      <c r="D9" s="611"/>
      <c r="E9" s="598"/>
      <c r="F9" s="598"/>
      <c r="G9" s="515" t="s">
        <v>770</v>
      </c>
      <c r="H9" s="608" t="s">
        <v>771</v>
      </c>
      <c r="I9" s="609"/>
      <c r="J9" s="609"/>
      <c r="K9" s="609"/>
      <c r="L9" s="609"/>
      <c r="M9" s="609"/>
      <c r="N9" s="609"/>
      <c r="O9" s="609"/>
      <c r="P9" s="610"/>
    </row>
    <row r="10" spans="1:16" ht="12.75" customHeight="1">
      <c r="A10" s="596"/>
      <c r="B10" s="611"/>
      <c r="C10" s="611"/>
      <c r="D10" s="611"/>
      <c r="E10" s="598"/>
      <c r="F10" s="598"/>
      <c r="G10" s="611"/>
      <c r="H10" s="605" t="s">
        <v>772</v>
      </c>
      <c r="I10" s="606"/>
      <c r="J10" s="606"/>
      <c r="K10" s="607"/>
      <c r="L10" s="599" t="s">
        <v>768</v>
      </c>
      <c r="M10" s="600"/>
      <c r="N10" s="600"/>
      <c r="O10" s="600"/>
      <c r="P10" s="601"/>
    </row>
    <row r="11" spans="1:16" ht="12.75" customHeight="1">
      <c r="A11" s="596"/>
      <c r="B11" s="611"/>
      <c r="C11" s="611"/>
      <c r="D11" s="611"/>
      <c r="E11" s="598"/>
      <c r="F11" s="598"/>
      <c r="G11" s="611"/>
      <c r="H11" s="515" t="s">
        <v>773</v>
      </c>
      <c r="I11" s="602" t="s">
        <v>774</v>
      </c>
      <c r="J11" s="603"/>
      <c r="K11" s="604"/>
      <c r="L11" s="515" t="s">
        <v>775</v>
      </c>
      <c r="M11" s="599" t="s">
        <v>774</v>
      </c>
      <c r="N11" s="600"/>
      <c r="O11" s="600"/>
      <c r="P11" s="601"/>
    </row>
    <row r="12" spans="1:16" ht="36" customHeight="1">
      <c r="A12" s="597"/>
      <c r="B12" s="508"/>
      <c r="C12" s="508"/>
      <c r="D12" s="508"/>
      <c r="E12" s="598"/>
      <c r="F12" s="598"/>
      <c r="G12" s="508"/>
      <c r="H12" s="508"/>
      <c r="I12" s="100" t="s">
        <v>776</v>
      </c>
      <c r="J12" s="100" t="s">
        <v>777</v>
      </c>
      <c r="K12" s="100" t="s">
        <v>778</v>
      </c>
      <c r="L12" s="508"/>
      <c r="M12" s="357" t="s">
        <v>779</v>
      </c>
      <c r="N12" s="357" t="s">
        <v>776</v>
      </c>
      <c r="O12" s="357" t="s">
        <v>777</v>
      </c>
      <c r="P12" s="357" t="s">
        <v>778</v>
      </c>
    </row>
    <row r="13" spans="1:16" s="358" customFormat="1" ht="12" customHeight="1">
      <c r="A13" s="61">
        <v>1</v>
      </c>
      <c r="B13" s="61">
        <v>2</v>
      </c>
      <c r="C13" s="61">
        <v>3</v>
      </c>
      <c r="D13" s="61">
        <v>4</v>
      </c>
      <c r="E13" s="61">
        <v>5</v>
      </c>
      <c r="F13" s="61">
        <v>6</v>
      </c>
      <c r="G13" s="61">
        <v>7</v>
      </c>
      <c r="H13" s="61">
        <v>8</v>
      </c>
      <c r="I13" s="61">
        <v>9</v>
      </c>
      <c r="J13" s="61">
        <v>10</v>
      </c>
      <c r="K13" s="61">
        <v>11</v>
      </c>
      <c r="L13" s="61">
        <v>12</v>
      </c>
      <c r="M13" s="61">
        <v>13</v>
      </c>
      <c r="N13" s="61">
        <v>14</v>
      </c>
      <c r="O13" s="61">
        <v>15</v>
      </c>
      <c r="P13" s="61">
        <v>16</v>
      </c>
    </row>
    <row r="14" spans="1:16" s="41" customFormat="1" ht="13.5" customHeight="1">
      <c r="A14" s="612" t="s">
        <v>780</v>
      </c>
      <c r="B14" s="474" t="s">
        <v>781</v>
      </c>
      <c r="C14" s="474"/>
      <c r="D14" s="474"/>
      <c r="E14" s="474"/>
      <c r="F14" s="474"/>
      <c r="G14" s="474"/>
      <c r="H14" s="474"/>
      <c r="I14" s="474"/>
      <c r="J14" s="474"/>
      <c r="K14" s="474"/>
      <c r="L14" s="359"/>
      <c r="M14" s="359"/>
      <c r="N14" s="359"/>
      <c r="O14" s="359"/>
      <c r="P14" s="359"/>
    </row>
    <row r="15" spans="1:16" s="41" customFormat="1" ht="12.75">
      <c r="A15" s="613"/>
      <c r="B15" s="20" t="s">
        <v>782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</row>
    <row r="16" spans="1:16" s="41" customFormat="1" ht="12.75">
      <c r="A16" s="613"/>
      <c r="B16" s="20" t="s">
        <v>783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</row>
    <row r="17" spans="1:16" s="41" customFormat="1" ht="12.75">
      <c r="A17" s="613"/>
      <c r="B17" s="20" t="s">
        <v>784</v>
      </c>
      <c r="C17" s="20" t="s">
        <v>785</v>
      </c>
      <c r="D17" s="20">
        <f aca="true" t="shared" si="0" ref="D17:P17">D18+D19</f>
        <v>1300847</v>
      </c>
      <c r="E17" s="20">
        <f t="shared" si="0"/>
        <v>346686</v>
      </c>
      <c r="F17" s="20">
        <f t="shared" si="0"/>
        <v>954161</v>
      </c>
      <c r="G17" s="20">
        <f t="shared" si="0"/>
        <v>734628</v>
      </c>
      <c r="H17" s="20">
        <f t="shared" si="0"/>
        <v>213657</v>
      </c>
      <c r="I17" s="20">
        <f t="shared" si="0"/>
        <v>88500</v>
      </c>
      <c r="J17" s="20">
        <f t="shared" si="0"/>
        <v>0</v>
      </c>
      <c r="K17" s="20">
        <f t="shared" si="0"/>
        <v>125157</v>
      </c>
      <c r="L17" s="20">
        <f t="shared" si="0"/>
        <v>520971</v>
      </c>
      <c r="M17" s="20">
        <f t="shared" si="0"/>
        <v>520971</v>
      </c>
      <c r="N17" s="20">
        <f t="shared" si="0"/>
        <v>0</v>
      </c>
      <c r="O17" s="20">
        <f t="shared" si="0"/>
        <v>0</v>
      </c>
      <c r="P17" s="20">
        <f t="shared" si="0"/>
        <v>0</v>
      </c>
    </row>
    <row r="18" spans="1:16" s="41" customFormat="1" ht="12.75">
      <c r="A18" s="613"/>
      <c r="B18" s="20" t="s">
        <v>786</v>
      </c>
      <c r="C18" s="20"/>
      <c r="D18" s="20">
        <f>E18+F18</f>
        <v>566219</v>
      </c>
      <c r="E18" s="20">
        <v>141554</v>
      </c>
      <c r="F18" s="20">
        <v>424665</v>
      </c>
      <c r="G18" s="20"/>
      <c r="H18" s="20"/>
      <c r="I18" s="61"/>
      <c r="J18" s="20"/>
      <c r="K18" s="20"/>
      <c r="L18" s="20"/>
      <c r="M18" s="20"/>
      <c r="N18" s="20"/>
      <c r="O18" s="20"/>
      <c r="P18" s="20"/>
    </row>
    <row r="19" spans="1:16" s="41" customFormat="1" ht="12.75">
      <c r="A19" s="613"/>
      <c r="B19" s="360" t="s">
        <v>787</v>
      </c>
      <c r="C19" s="361"/>
      <c r="D19" s="361">
        <f>E19+F19</f>
        <v>734628</v>
      </c>
      <c r="E19" s="361">
        <v>205132</v>
      </c>
      <c r="F19" s="361">
        <v>529496</v>
      </c>
      <c r="G19" s="361">
        <f>H19+L19</f>
        <v>734628</v>
      </c>
      <c r="H19" s="361">
        <f>I19+J19+K19</f>
        <v>213657</v>
      </c>
      <c r="I19" s="361">
        <v>88500</v>
      </c>
      <c r="J19" s="361"/>
      <c r="K19" s="361">
        <v>125157</v>
      </c>
      <c r="L19" s="361">
        <f>M19+N19+O19+P19</f>
        <v>520971</v>
      </c>
      <c r="M19" s="361">
        <v>520971</v>
      </c>
      <c r="N19" s="361">
        <v>0</v>
      </c>
      <c r="O19" s="361">
        <v>0</v>
      </c>
      <c r="P19" s="361">
        <v>0</v>
      </c>
    </row>
    <row r="20" spans="1:16" s="41" customFormat="1" ht="12.75">
      <c r="A20" s="613"/>
      <c r="B20" s="20" t="s">
        <v>788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</row>
    <row r="21" spans="1:16" s="41" customFormat="1" ht="12.75">
      <c r="A21" s="614"/>
      <c r="B21" s="20" t="s">
        <v>789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</row>
    <row r="22" spans="1:16" s="41" customFormat="1" ht="13.5" customHeight="1">
      <c r="A22" s="612" t="s">
        <v>790</v>
      </c>
      <c r="B22" s="474" t="s">
        <v>791</v>
      </c>
      <c r="C22" s="474"/>
      <c r="D22" s="474"/>
      <c r="E22" s="474"/>
      <c r="F22" s="474"/>
      <c r="G22" s="474"/>
      <c r="H22" s="474"/>
      <c r="I22" s="474"/>
      <c r="J22" s="474"/>
      <c r="K22" s="474"/>
      <c r="L22" s="359"/>
      <c r="M22" s="359"/>
      <c r="N22" s="359"/>
      <c r="O22" s="359"/>
      <c r="P22" s="359"/>
    </row>
    <row r="23" spans="1:16" s="41" customFormat="1" ht="12.75">
      <c r="A23" s="613"/>
      <c r="B23" s="20" t="s">
        <v>792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</row>
    <row r="24" spans="1:16" s="41" customFormat="1" ht="12.75">
      <c r="A24" s="613"/>
      <c r="B24" s="20" t="s">
        <v>783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</row>
    <row r="25" spans="1:16" s="41" customFormat="1" ht="12.75">
      <c r="A25" s="613"/>
      <c r="B25" s="20" t="s">
        <v>784</v>
      </c>
      <c r="C25" s="20">
        <v>600.60014</v>
      </c>
      <c r="D25" s="20">
        <f aca="true" t="shared" si="1" ref="D25:P25">D26+D27+D28</f>
        <v>6141663</v>
      </c>
      <c r="E25" s="20">
        <f t="shared" si="1"/>
        <v>1548901</v>
      </c>
      <c r="F25" s="20">
        <f t="shared" si="1"/>
        <v>4592762</v>
      </c>
      <c r="G25" s="20">
        <f t="shared" si="1"/>
        <v>1956046</v>
      </c>
      <c r="H25" s="20">
        <f t="shared" si="1"/>
        <v>489012</v>
      </c>
      <c r="I25" s="20">
        <f t="shared" si="1"/>
        <v>294500</v>
      </c>
      <c r="J25" s="20">
        <f t="shared" si="1"/>
        <v>0</v>
      </c>
      <c r="K25" s="20">
        <f t="shared" si="1"/>
        <v>194512</v>
      </c>
      <c r="L25" s="20">
        <f t="shared" si="1"/>
        <v>1467034</v>
      </c>
      <c r="M25" s="20">
        <f t="shared" si="1"/>
        <v>1467034</v>
      </c>
      <c r="N25" s="20">
        <f t="shared" si="1"/>
        <v>0</v>
      </c>
      <c r="O25" s="20">
        <f t="shared" si="1"/>
        <v>0</v>
      </c>
      <c r="P25" s="20">
        <f t="shared" si="1"/>
        <v>0</v>
      </c>
    </row>
    <row r="26" spans="1:16" s="41" customFormat="1" ht="12.75">
      <c r="A26" s="613"/>
      <c r="B26" s="20" t="s">
        <v>786</v>
      </c>
      <c r="C26" s="20"/>
      <c r="D26" s="20">
        <f>E26+F26</f>
        <v>1949643</v>
      </c>
      <c r="E26" s="20">
        <v>487170</v>
      </c>
      <c r="F26" s="20">
        <v>1462473</v>
      </c>
      <c r="G26" s="20"/>
      <c r="H26" s="20"/>
      <c r="I26" s="61"/>
      <c r="J26" s="20"/>
      <c r="K26" s="20"/>
      <c r="L26" s="20"/>
      <c r="M26" s="20"/>
      <c r="N26" s="20"/>
      <c r="O26" s="20"/>
      <c r="P26" s="20"/>
    </row>
    <row r="27" spans="1:16" s="41" customFormat="1" ht="12.75">
      <c r="A27" s="613"/>
      <c r="B27" s="360" t="s">
        <v>787</v>
      </c>
      <c r="C27" s="361"/>
      <c r="D27" s="361">
        <f>E27+F27</f>
        <v>1956046</v>
      </c>
      <c r="E27" s="361">
        <v>489012</v>
      </c>
      <c r="F27" s="361">
        <v>1467034</v>
      </c>
      <c r="G27" s="361">
        <f>H27+L27</f>
        <v>1956046</v>
      </c>
      <c r="H27" s="361">
        <f>I27+J27+K27</f>
        <v>489012</v>
      </c>
      <c r="I27" s="361">
        <v>294500</v>
      </c>
      <c r="J27" s="361"/>
      <c r="K27" s="361">
        <v>194512</v>
      </c>
      <c r="L27" s="361">
        <f>M27+N27</f>
        <v>1467034</v>
      </c>
      <c r="M27" s="361">
        <v>1467034</v>
      </c>
      <c r="N27" s="361"/>
      <c r="O27" s="361"/>
      <c r="P27" s="361"/>
    </row>
    <row r="28" spans="1:16" s="41" customFormat="1" ht="12.75">
      <c r="A28" s="613"/>
      <c r="B28" s="20" t="s">
        <v>788</v>
      </c>
      <c r="C28" s="20"/>
      <c r="D28" s="20">
        <f>E28+F28</f>
        <v>2235974</v>
      </c>
      <c r="E28" s="20">
        <v>572719</v>
      </c>
      <c r="F28" s="20">
        <v>1663255</v>
      </c>
      <c r="G28" s="20"/>
      <c r="H28" s="20"/>
      <c r="I28" s="20"/>
      <c r="J28" s="20"/>
      <c r="K28" s="20"/>
      <c r="L28" s="20"/>
      <c r="M28" s="20"/>
      <c r="N28" s="20"/>
      <c r="O28" s="20"/>
      <c r="P28" s="20"/>
    </row>
    <row r="29" spans="1:16" s="41" customFormat="1" ht="12.75">
      <c r="A29" s="614"/>
      <c r="B29" s="20" t="s">
        <v>789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</row>
    <row r="30" spans="1:17" s="41" customFormat="1" ht="13.5" customHeight="1">
      <c r="A30" s="612" t="s">
        <v>790</v>
      </c>
      <c r="B30" s="474" t="s">
        <v>851</v>
      </c>
      <c r="C30" s="474"/>
      <c r="D30" s="474"/>
      <c r="E30" s="474"/>
      <c r="F30" s="474"/>
      <c r="G30" s="474"/>
      <c r="H30" s="474"/>
      <c r="I30" s="474"/>
      <c r="J30" s="359"/>
      <c r="K30" s="359"/>
      <c r="L30" s="359"/>
      <c r="M30" s="359"/>
      <c r="N30" s="359"/>
      <c r="O30" s="359"/>
      <c r="P30" s="359"/>
      <c r="Q30" s="362"/>
    </row>
    <row r="31" spans="1:17" s="41" customFormat="1" ht="12.75">
      <c r="A31" s="613"/>
      <c r="B31" s="20" t="s">
        <v>792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362"/>
    </row>
    <row r="32" spans="1:16" s="41" customFormat="1" ht="12.75">
      <c r="A32" s="613"/>
      <c r="B32" s="20" t="s">
        <v>793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</row>
    <row r="33" spans="1:16" s="41" customFormat="1" ht="12.75">
      <c r="A33" s="613"/>
      <c r="B33" s="20" t="s">
        <v>784</v>
      </c>
      <c r="C33" s="20">
        <v>851.85111</v>
      </c>
      <c r="D33" s="20">
        <f>D34+D35+D36+D37</f>
        <v>6980000</v>
      </c>
      <c r="E33" s="20">
        <f>E34+E35+E36+E37</f>
        <v>3376475</v>
      </c>
      <c r="F33" s="20">
        <f>F34+F35+F36+F37</f>
        <v>3603525</v>
      </c>
      <c r="G33" s="20">
        <f aca="true" t="shared" si="2" ref="G33:P33">G34+G35+G36+G37</f>
        <v>2674262</v>
      </c>
      <c r="H33" s="20">
        <f t="shared" si="2"/>
        <v>872500</v>
      </c>
      <c r="I33" s="20">
        <f t="shared" si="2"/>
        <v>0</v>
      </c>
      <c r="J33" s="20">
        <f t="shared" si="2"/>
        <v>0</v>
      </c>
      <c r="K33" s="20">
        <f t="shared" si="2"/>
        <v>872500</v>
      </c>
      <c r="L33" s="20">
        <f t="shared" si="2"/>
        <v>1801762</v>
      </c>
      <c r="M33" s="20">
        <f t="shared" si="2"/>
        <v>1801762</v>
      </c>
      <c r="N33" s="20">
        <f t="shared" si="2"/>
        <v>0</v>
      </c>
      <c r="O33" s="20">
        <f t="shared" si="2"/>
        <v>0</v>
      </c>
      <c r="P33" s="20">
        <f t="shared" si="2"/>
        <v>0</v>
      </c>
    </row>
    <row r="34" spans="1:16" s="41" customFormat="1" ht="12.75">
      <c r="A34" s="613"/>
      <c r="B34" s="20" t="s">
        <v>786</v>
      </c>
      <c r="C34" s="20"/>
      <c r="D34" s="20">
        <f>E34+F34</f>
        <v>101860</v>
      </c>
      <c r="E34" s="20">
        <v>101860</v>
      </c>
      <c r="F34" s="20">
        <v>0</v>
      </c>
      <c r="G34" s="20"/>
      <c r="H34" s="20"/>
      <c r="I34" s="61"/>
      <c r="J34" s="20"/>
      <c r="K34" s="20"/>
      <c r="L34" s="20"/>
      <c r="M34" s="20"/>
      <c r="N34" s="20"/>
      <c r="O34" s="20"/>
      <c r="P34" s="20"/>
    </row>
    <row r="35" spans="1:16" s="41" customFormat="1" ht="12.75">
      <c r="A35" s="613"/>
      <c r="B35" s="360" t="s">
        <v>787</v>
      </c>
      <c r="C35" s="361"/>
      <c r="D35" s="361">
        <f>E35+F35</f>
        <v>2674262</v>
      </c>
      <c r="E35" s="361">
        <v>872500</v>
      </c>
      <c r="F35" s="361">
        <v>1801762</v>
      </c>
      <c r="G35" s="361">
        <f>H35+L35</f>
        <v>2674262</v>
      </c>
      <c r="H35" s="361">
        <f>I35+J35+K35</f>
        <v>872500</v>
      </c>
      <c r="I35" s="361"/>
      <c r="J35" s="361"/>
      <c r="K35" s="361">
        <v>872500</v>
      </c>
      <c r="L35" s="361">
        <f>M35+N35+O35+P35</f>
        <v>1801762</v>
      </c>
      <c r="M35" s="361">
        <v>1801762</v>
      </c>
      <c r="N35" s="361"/>
      <c r="O35" s="361"/>
      <c r="P35" s="361">
        <v>0</v>
      </c>
    </row>
    <row r="36" spans="1:16" s="41" customFormat="1" ht="12.75">
      <c r="A36" s="613"/>
      <c r="B36" s="20" t="s">
        <v>788</v>
      </c>
      <c r="C36" s="20"/>
      <c r="D36" s="20">
        <f>E36+F36</f>
        <v>3096543</v>
      </c>
      <c r="E36" s="20">
        <v>1294780</v>
      </c>
      <c r="F36" s="20">
        <v>1801763</v>
      </c>
      <c r="G36" s="20"/>
      <c r="H36" s="20"/>
      <c r="I36" s="20"/>
      <c r="J36" s="20"/>
      <c r="K36" s="20"/>
      <c r="L36" s="20"/>
      <c r="M36" s="20"/>
      <c r="N36" s="20"/>
      <c r="O36" s="20"/>
      <c r="P36" s="20"/>
    </row>
    <row r="37" spans="1:16" s="41" customFormat="1" ht="12.75">
      <c r="A37" s="614"/>
      <c r="B37" s="20" t="s">
        <v>789</v>
      </c>
      <c r="C37" s="20"/>
      <c r="D37" s="20">
        <f>E37+F37</f>
        <v>1107335</v>
      </c>
      <c r="E37" s="20">
        <v>1107335</v>
      </c>
      <c r="F37" s="20">
        <v>0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</row>
    <row r="38" spans="1:16" s="41" customFormat="1" ht="17.25" customHeight="1">
      <c r="A38" s="363"/>
      <c r="B38" s="363" t="s">
        <v>794</v>
      </c>
      <c r="C38" s="363"/>
      <c r="D38" s="364">
        <f aca="true" t="shared" si="3" ref="D38:P38">D19+D27+D35</f>
        <v>5364936</v>
      </c>
      <c r="E38" s="364">
        <f t="shared" si="3"/>
        <v>1566644</v>
      </c>
      <c r="F38" s="364">
        <f t="shared" si="3"/>
        <v>3798292</v>
      </c>
      <c r="G38" s="364">
        <f t="shared" si="3"/>
        <v>5364936</v>
      </c>
      <c r="H38" s="364">
        <f t="shared" si="3"/>
        <v>1575169</v>
      </c>
      <c r="I38" s="364">
        <f t="shared" si="3"/>
        <v>383000</v>
      </c>
      <c r="J38" s="364">
        <f t="shared" si="3"/>
        <v>0</v>
      </c>
      <c r="K38" s="364">
        <f t="shared" si="3"/>
        <v>1192169</v>
      </c>
      <c r="L38" s="364">
        <f t="shared" si="3"/>
        <v>3789767</v>
      </c>
      <c r="M38" s="364">
        <f t="shared" si="3"/>
        <v>3789767</v>
      </c>
      <c r="N38" s="364">
        <f t="shared" si="3"/>
        <v>0</v>
      </c>
      <c r="O38" s="364">
        <f t="shared" si="3"/>
        <v>0</v>
      </c>
      <c r="P38" s="364">
        <f t="shared" si="3"/>
        <v>0</v>
      </c>
    </row>
    <row r="39" spans="1:16" s="41" customFormat="1" ht="18.75" customHeight="1">
      <c r="A39" s="365"/>
      <c r="B39" s="365" t="s">
        <v>795</v>
      </c>
      <c r="C39" s="365"/>
      <c r="D39" s="366">
        <f aca="true" t="shared" si="4" ref="D39:P39">D17+D25+D33</f>
        <v>14422510</v>
      </c>
      <c r="E39" s="366">
        <f t="shared" si="4"/>
        <v>5272062</v>
      </c>
      <c r="F39" s="366">
        <f t="shared" si="4"/>
        <v>9150448</v>
      </c>
      <c r="G39" s="366">
        <f t="shared" si="4"/>
        <v>5364936</v>
      </c>
      <c r="H39" s="366">
        <f t="shared" si="4"/>
        <v>1575169</v>
      </c>
      <c r="I39" s="366">
        <f t="shared" si="4"/>
        <v>383000</v>
      </c>
      <c r="J39" s="366">
        <f t="shared" si="4"/>
        <v>0</v>
      </c>
      <c r="K39" s="366">
        <f t="shared" si="4"/>
        <v>1192169</v>
      </c>
      <c r="L39" s="366">
        <f t="shared" si="4"/>
        <v>3789767</v>
      </c>
      <c r="M39" s="366">
        <f t="shared" si="4"/>
        <v>3789767</v>
      </c>
      <c r="N39" s="366">
        <f t="shared" si="4"/>
        <v>0</v>
      </c>
      <c r="O39" s="366">
        <f t="shared" si="4"/>
        <v>0</v>
      </c>
      <c r="P39" s="366">
        <f t="shared" si="4"/>
        <v>0</v>
      </c>
    </row>
    <row r="40" spans="1:16" ht="18.75" customHeight="1">
      <c r="A40" s="224"/>
      <c r="B40" s="201"/>
      <c r="C40" s="201"/>
      <c r="D40" s="367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</row>
    <row r="41" spans="1:16" ht="23.25" customHeight="1">
      <c r="A41" s="224"/>
      <c r="B41" s="201"/>
      <c r="C41" s="201"/>
      <c r="D41" s="201"/>
      <c r="E41" s="201"/>
      <c r="F41" s="201"/>
      <c r="G41" s="201"/>
      <c r="H41" s="201"/>
      <c r="I41" s="201"/>
      <c r="J41" s="201"/>
      <c r="K41" s="201"/>
      <c r="L41" s="355"/>
      <c r="M41" s="351" t="s">
        <v>233</v>
      </c>
      <c r="N41" s="351"/>
      <c r="O41" s="201"/>
      <c r="P41" s="201"/>
    </row>
    <row r="42" spans="1:16" ht="24.75" customHeight="1">
      <c r="A42" s="224"/>
      <c r="B42" s="201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107" t="s">
        <v>949</v>
      </c>
      <c r="N42" s="107"/>
      <c r="O42" s="201"/>
      <c r="P42" s="201"/>
    </row>
    <row r="43" ht="12.75">
      <c r="A43" s="41"/>
    </row>
    <row r="44" ht="12.75">
      <c r="A44" s="41"/>
    </row>
    <row r="45" ht="12.75">
      <c r="A45" s="41"/>
    </row>
    <row r="46" ht="12.75">
      <c r="A46" s="41"/>
    </row>
    <row r="47" ht="12.75">
      <c r="A47" s="41"/>
    </row>
    <row r="48" ht="12.75">
      <c r="A48" s="41"/>
    </row>
    <row r="49" ht="12.75">
      <c r="A49" s="41"/>
    </row>
    <row r="50" ht="12.75">
      <c r="A50" s="41"/>
    </row>
    <row r="51" ht="12.75">
      <c r="A51" s="41"/>
    </row>
    <row r="52" ht="12.75">
      <c r="A52" s="41"/>
    </row>
    <row r="53" ht="12.75">
      <c r="A53" s="41"/>
    </row>
    <row r="54" ht="12.75">
      <c r="A54" s="41"/>
    </row>
    <row r="55" ht="12.75">
      <c r="A55" s="41"/>
    </row>
    <row r="56" ht="12.75">
      <c r="A56" s="41"/>
    </row>
    <row r="57" ht="12.75">
      <c r="A57" s="41"/>
    </row>
    <row r="58" ht="12.75">
      <c r="A58" s="41"/>
    </row>
    <row r="59" ht="12.75">
      <c r="A59" s="41"/>
    </row>
    <row r="60" ht="12.75">
      <c r="A60" s="41"/>
    </row>
    <row r="61" ht="12.75">
      <c r="A61" s="41"/>
    </row>
    <row r="62" ht="12.75">
      <c r="A62" s="41"/>
    </row>
    <row r="63" ht="12.75">
      <c r="A63" s="41"/>
    </row>
    <row r="64" ht="12.75">
      <c r="A64" s="41"/>
    </row>
    <row r="65" ht="12.75">
      <c r="A65" s="41"/>
    </row>
    <row r="66" ht="12.75">
      <c r="A66" s="41"/>
    </row>
    <row r="67" ht="12.75">
      <c r="A67" s="41"/>
    </row>
    <row r="68" ht="12.75">
      <c r="A68" s="41"/>
    </row>
    <row r="69" ht="12.75">
      <c r="A69" s="41"/>
    </row>
    <row r="70" ht="12.75">
      <c r="A70" s="41"/>
    </row>
    <row r="71" ht="12.75">
      <c r="A71" s="41"/>
    </row>
    <row r="72" ht="12.75">
      <c r="A72" s="41"/>
    </row>
    <row r="73" ht="12.75">
      <c r="A73" s="41"/>
    </row>
    <row r="74" ht="12.75">
      <c r="A74" s="41"/>
    </row>
    <row r="75" ht="12.75">
      <c r="A75" s="41"/>
    </row>
    <row r="76" ht="12.75">
      <c r="A76" s="41"/>
    </row>
    <row r="77" ht="12.75">
      <c r="A77" s="41"/>
    </row>
    <row r="78" ht="12.75">
      <c r="A78" s="41"/>
    </row>
    <row r="79" ht="12.75">
      <c r="A79" s="41"/>
    </row>
    <row r="80" ht="12.75">
      <c r="A80" s="41"/>
    </row>
    <row r="81" ht="12.75">
      <c r="A81" s="41"/>
    </row>
    <row r="82" ht="12.75">
      <c r="A82" s="41"/>
    </row>
    <row r="83" ht="12.75">
      <c r="A83" s="41"/>
    </row>
    <row r="84" ht="12.75">
      <c r="A84" s="41"/>
    </row>
    <row r="85" ht="12.75">
      <c r="A85" s="41"/>
    </row>
    <row r="86" ht="12.75">
      <c r="A86" s="41"/>
    </row>
    <row r="87" ht="12.75">
      <c r="A87" s="41"/>
    </row>
    <row r="88" ht="12.75">
      <c r="A88" s="41"/>
    </row>
    <row r="89" ht="12.75">
      <c r="A89" s="41"/>
    </row>
    <row r="90" ht="12.75">
      <c r="A90" s="41"/>
    </row>
    <row r="91" ht="12.75">
      <c r="A91" s="41"/>
    </row>
    <row r="92" ht="12.75">
      <c r="A92" s="41"/>
    </row>
    <row r="93" ht="12.75">
      <c r="A93" s="41"/>
    </row>
    <row r="94" ht="12.75">
      <c r="A94" s="41"/>
    </row>
    <row r="95" ht="12.75">
      <c r="A95" s="41"/>
    </row>
    <row r="96" ht="12.75">
      <c r="A96" s="41"/>
    </row>
    <row r="97" ht="12.75">
      <c r="A97" s="41"/>
    </row>
    <row r="98" ht="12.75">
      <c r="A98" s="41"/>
    </row>
    <row r="99" ht="12.75">
      <c r="A99" s="41"/>
    </row>
    <row r="100" ht="12.75">
      <c r="A100" s="41"/>
    </row>
    <row r="101" ht="12.75">
      <c r="A101" s="41"/>
    </row>
    <row r="102" ht="12.75">
      <c r="A102" s="41"/>
    </row>
    <row r="103" ht="12.75">
      <c r="A103" s="41"/>
    </row>
    <row r="104" ht="12.75">
      <c r="A104" s="41"/>
    </row>
    <row r="105" ht="12.75">
      <c r="A105" s="41"/>
    </row>
    <row r="106" ht="12.75">
      <c r="A106" s="41"/>
    </row>
    <row r="107" ht="12.75">
      <c r="A107" s="41"/>
    </row>
    <row r="108" ht="12.75">
      <c r="A108" s="41"/>
    </row>
    <row r="109" ht="12.75">
      <c r="A109" s="41"/>
    </row>
    <row r="110" ht="12.75">
      <c r="A110" s="41"/>
    </row>
    <row r="111" ht="12.75">
      <c r="A111" s="41"/>
    </row>
    <row r="112" ht="12.75">
      <c r="A112" s="41"/>
    </row>
    <row r="113" ht="12.75">
      <c r="A113" s="41"/>
    </row>
    <row r="114" ht="12.75">
      <c r="A114" s="41"/>
    </row>
    <row r="115" ht="12.75">
      <c r="A115" s="41"/>
    </row>
    <row r="116" ht="12.75">
      <c r="A116" s="41"/>
    </row>
    <row r="117" ht="12.75">
      <c r="A117" s="41"/>
    </row>
    <row r="118" ht="12.75">
      <c r="A118" s="41"/>
    </row>
    <row r="119" ht="12.75">
      <c r="A119" s="41"/>
    </row>
    <row r="120" ht="12.75">
      <c r="A120" s="41"/>
    </row>
    <row r="121" ht="12.75">
      <c r="A121" s="41"/>
    </row>
    <row r="122" ht="12.75">
      <c r="A122" s="41"/>
    </row>
    <row r="123" ht="12.75">
      <c r="A123" s="41"/>
    </row>
    <row r="124" ht="12.75">
      <c r="A124" s="41"/>
    </row>
    <row r="125" ht="12.75">
      <c r="A125" s="41"/>
    </row>
    <row r="126" ht="12.75">
      <c r="A126" s="41"/>
    </row>
    <row r="127" ht="12.75">
      <c r="A127" s="41"/>
    </row>
    <row r="128" ht="12.75">
      <c r="A128" s="41"/>
    </row>
    <row r="129" ht="12.75">
      <c r="A129" s="41"/>
    </row>
    <row r="130" ht="12.75">
      <c r="A130" s="41"/>
    </row>
    <row r="131" ht="12.75">
      <c r="A131" s="41"/>
    </row>
    <row r="132" ht="12.75">
      <c r="A132" s="41"/>
    </row>
    <row r="133" ht="12.75">
      <c r="A133" s="41"/>
    </row>
    <row r="134" ht="12.75">
      <c r="A134" s="41"/>
    </row>
    <row r="135" ht="12.75">
      <c r="A135" s="41"/>
    </row>
    <row r="136" ht="12.75">
      <c r="A136" s="41"/>
    </row>
    <row r="137" ht="12.75">
      <c r="A137" s="41"/>
    </row>
    <row r="138" ht="12.75">
      <c r="A138" s="41"/>
    </row>
    <row r="139" ht="12.75">
      <c r="A139" s="41"/>
    </row>
    <row r="140" ht="12.75">
      <c r="A140" s="41"/>
    </row>
    <row r="141" ht="12.75">
      <c r="A141" s="41"/>
    </row>
    <row r="142" ht="12.75">
      <c r="A142" s="41"/>
    </row>
    <row r="143" ht="12.75">
      <c r="A143" s="41"/>
    </row>
    <row r="144" ht="12.75">
      <c r="A144" s="41"/>
    </row>
    <row r="145" ht="12.75">
      <c r="A145" s="41"/>
    </row>
    <row r="146" ht="12.75">
      <c r="A146" s="41"/>
    </row>
    <row r="147" ht="12.75">
      <c r="A147" s="41"/>
    </row>
    <row r="148" ht="12.75">
      <c r="A148" s="41"/>
    </row>
    <row r="149" ht="12.75">
      <c r="A149" s="41"/>
    </row>
    <row r="150" ht="12.75">
      <c r="A150" s="41"/>
    </row>
    <row r="151" ht="12.75">
      <c r="A151" s="41"/>
    </row>
    <row r="152" ht="12.75">
      <c r="A152" s="41"/>
    </row>
    <row r="153" ht="12.75">
      <c r="A153" s="41"/>
    </row>
    <row r="154" ht="12.75">
      <c r="A154" s="41"/>
    </row>
    <row r="155" ht="12.75">
      <c r="A155" s="41"/>
    </row>
    <row r="156" ht="12.75">
      <c r="A156" s="41"/>
    </row>
    <row r="157" ht="12.75">
      <c r="A157" s="41"/>
    </row>
    <row r="158" ht="12.75">
      <c r="A158" s="41"/>
    </row>
    <row r="159" ht="12.75">
      <c r="A159" s="41"/>
    </row>
    <row r="160" ht="12.75">
      <c r="A160" s="41"/>
    </row>
    <row r="161" ht="12.75">
      <c r="A161" s="41"/>
    </row>
    <row r="162" ht="12.75">
      <c r="A162" s="41"/>
    </row>
    <row r="163" ht="12.75">
      <c r="A163" s="41"/>
    </row>
    <row r="164" ht="12.75">
      <c r="A164" s="41"/>
    </row>
    <row r="165" ht="12.75">
      <c r="A165" s="41"/>
    </row>
    <row r="166" ht="12.75">
      <c r="A166" s="41"/>
    </row>
    <row r="167" ht="12.75">
      <c r="A167" s="41"/>
    </row>
    <row r="168" ht="12.75">
      <c r="A168" s="41"/>
    </row>
    <row r="169" ht="12.75">
      <c r="A169" s="41"/>
    </row>
    <row r="170" ht="12.75">
      <c r="A170" s="41"/>
    </row>
    <row r="171" ht="12.75">
      <c r="A171" s="41"/>
    </row>
    <row r="172" ht="12.75">
      <c r="A172" s="41"/>
    </row>
    <row r="173" ht="12.75">
      <c r="A173" s="41"/>
    </row>
    <row r="174" ht="12.75">
      <c r="A174" s="41"/>
    </row>
    <row r="175" ht="12.75">
      <c r="A175" s="41"/>
    </row>
    <row r="176" ht="12.75">
      <c r="A176" s="41"/>
    </row>
    <row r="177" ht="12.75">
      <c r="A177" s="41"/>
    </row>
    <row r="178" ht="12.75">
      <c r="A178" s="41"/>
    </row>
    <row r="179" ht="12.75">
      <c r="A179" s="41"/>
    </row>
    <row r="180" ht="12.75">
      <c r="A180" s="41"/>
    </row>
    <row r="181" ht="12.75">
      <c r="A181" s="41"/>
    </row>
    <row r="182" ht="12.75">
      <c r="A182" s="41"/>
    </row>
    <row r="183" ht="12.75">
      <c r="A183" s="41"/>
    </row>
    <row r="184" ht="12.75">
      <c r="A184" s="41"/>
    </row>
    <row r="185" ht="12.75">
      <c r="A185" s="41"/>
    </row>
    <row r="186" ht="12.75">
      <c r="A186" s="41"/>
    </row>
    <row r="187" ht="12.75">
      <c r="A187" s="41"/>
    </row>
    <row r="188" ht="12.75">
      <c r="A188" s="41"/>
    </row>
    <row r="189" ht="12.75">
      <c r="A189" s="41"/>
    </row>
    <row r="190" ht="12.75">
      <c r="A190" s="41"/>
    </row>
    <row r="191" ht="12.75">
      <c r="A191" s="41"/>
    </row>
    <row r="192" ht="12.75">
      <c r="A192" s="41"/>
    </row>
    <row r="193" ht="12.75">
      <c r="A193" s="41"/>
    </row>
    <row r="194" ht="12.75">
      <c r="A194" s="41"/>
    </row>
    <row r="195" ht="12.75">
      <c r="A195" s="41"/>
    </row>
    <row r="196" ht="12.75">
      <c r="A196" s="41"/>
    </row>
    <row r="197" ht="12.75">
      <c r="A197" s="41"/>
    </row>
    <row r="198" ht="12.75">
      <c r="A198" s="41"/>
    </row>
    <row r="199" ht="12.75">
      <c r="A199" s="41"/>
    </row>
    <row r="200" ht="12.75">
      <c r="A200" s="41"/>
    </row>
    <row r="201" ht="12.75">
      <c r="A201" s="41"/>
    </row>
    <row r="202" ht="12.75">
      <c r="A202" s="41"/>
    </row>
    <row r="203" ht="12.75">
      <c r="A203" s="41"/>
    </row>
    <row r="204" ht="12.75">
      <c r="A204" s="41"/>
    </row>
    <row r="205" ht="12.75">
      <c r="A205" s="41"/>
    </row>
    <row r="206" ht="12.75">
      <c r="A206" s="41"/>
    </row>
    <row r="207" ht="12.75">
      <c r="A207" s="41"/>
    </row>
    <row r="208" ht="12.75">
      <c r="A208" s="41"/>
    </row>
    <row r="209" ht="12.75">
      <c r="A209" s="41"/>
    </row>
    <row r="210" ht="12.75">
      <c r="A210" s="41"/>
    </row>
    <row r="211" ht="12.75">
      <c r="A211" s="41"/>
    </row>
    <row r="212" ht="12.75">
      <c r="A212" s="41"/>
    </row>
    <row r="213" ht="12.75">
      <c r="A213" s="41"/>
    </row>
    <row r="214" ht="12.75">
      <c r="A214" s="41"/>
    </row>
    <row r="215" ht="12.75">
      <c r="A215" s="41"/>
    </row>
    <row r="216" ht="12.75">
      <c r="A216" s="41"/>
    </row>
    <row r="217" ht="12.75">
      <c r="A217" s="41"/>
    </row>
    <row r="218" ht="12.75">
      <c r="A218" s="41"/>
    </row>
    <row r="219" ht="12.75">
      <c r="A219" s="41"/>
    </row>
    <row r="220" ht="12.75">
      <c r="A220" s="41"/>
    </row>
    <row r="221" ht="12.75">
      <c r="A221" s="41"/>
    </row>
    <row r="222" ht="12.75">
      <c r="A222" s="41"/>
    </row>
    <row r="223" ht="12.75">
      <c r="A223" s="41"/>
    </row>
    <row r="224" ht="12.75">
      <c r="A224" s="41"/>
    </row>
    <row r="225" ht="12.75">
      <c r="A225" s="41"/>
    </row>
    <row r="226" ht="12.75">
      <c r="A226" s="41"/>
    </row>
    <row r="227" ht="12.75">
      <c r="A227" s="41"/>
    </row>
    <row r="228" ht="12.75">
      <c r="A228" s="41"/>
    </row>
    <row r="229" ht="12.75">
      <c r="A229" s="41"/>
    </row>
    <row r="230" ht="12.75">
      <c r="A230" s="41"/>
    </row>
    <row r="231" ht="12.75">
      <c r="A231" s="41"/>
    </row>
    <row r="232" ht="12.75">
      <c r="A232" s="41"/>
    </row>
    <row r="233" ht="12.75">
      <c r="A233" s="41"/>
    </row>
    <row r="234" ht="12.75">
      <c r="A234" s="41"/>
    </row>
    <row r="235" ht="12.75">
      <c r="A235" s="41"/>
    </row>
    <row r="236" ht="12.75">
      <c r="A236" s="41"/>
    </row>
    <row r="237" ht="12.75">
      <c r="A237" s="41"/>
    </row>
    <row r="238" ht="12.75">
      <c r="A238" s="41"/>
    </row>
    <row r="239" ht="12.75">
      <c r="A239" s="41"/>
    </row>
    <row r="240" ht="12.75">
      <c r="A240" s="41"/>
    </row>
    <row r="241" ht="12.75">
      <c r="A241" s="41"/>
    </row>
    <row r="242" ht="12.75">
      <c r="A242" s="41"/>
    </row>
    <row r="243" ht="12.75">
      <c r="A243" s="41"/>
    </row>
    <row r="244" ht="12.75">
      <c r="A244" s="41"/>
    </row>
    <row r="245" ht="12.75">
      <c r="A245" s="41"/>
    </row>
    <row r="246" ht="12.75">
      <c r="A246" s="41"/>
    </row>
    <row r="247" ht="12.75">
      <c r="A247" s="41"/>
    </row>
    <row r="248" ht="12.75">
      <c r="A248" s="41"/>
    </row>
    <row r="249" ht="12.75">
      <c r="A249" s="41"/>
    </row>
    <row r="250" ht="12.75">
      <c r="A250" s="41"/>
    </row>
    <row r="251" ht="12.75">
      <c r="A251" s="41"/>
    </row>
    <row r="252" ht="12.75">
      <c r="A252" s="41"/>
    </row>
    <row r="253" ht="12.75">
      <c r="A253" s="41"/>
    </row>
    <row r="254" ht="12.75">
      <c r="A254" s="41"/>
    </row>
    <row r="255" ht="12.75">
      <c r="A255" s="41"/>
    </row>
    <row r="256" ht="12.75">
      <c r="A256" s="41"/>
    </row>
    <row r="257" ht="12.75">
      <c r="A257" s="41"/>
    </row>
    <row r="258" ht="12.75">
      <c r="A258" s="41"/>
    </row>
    <row r="259" ht="12.75">
      <c r="A259" s="41"/>
    </row>
    <row r="260" ht="12.75">
      <c r="A260" s="41"/>
    </row>
    <row r="261" ht="12.75">
      <c r="A261" s="41"/>
    </row>
    <row r="262" ht="12.75">
      <c r="A262" s="41"/>
    </row>
    <row r="263" ht="12.75">
      <c r="A263" s="41"/>
    </row>
    <row r="264" ht="12.75">
      <c r="A264" s="41"/>
    </row>
    <row r="265" ht="12.75">
      <c r="A265" s="41"/>
    </row>
    <row r="266" ht="12.75">
      <c r="A266" s="41"/>
    </row>
    <row r="267" ht="12.75">
      <c r="A267" s="41"/>
    </row>
    <row r="268" ht="12.75">
      <c r="A268" s="41"/>
    </row>
    <row r="269" ht="12.75">
      <c r="A269" s="41"/>
    </row>
    <row r="270" ht="12.75">
      <c r="A270" s="41"/>
    </row>
    <row r="271" ht="12.75">
      <c r="A271" s="41"/>
    </row>
    <row r="272" ht="12.75">
      <c r="A272" s="41"/>
    </row>
    <row r="273" ht="12.75">
      <c r="A273" s="41"/>
    </row>
    <row r="274" ht="12.75">
      <c r="A274" s="41"/>
    </row>
    <row r="275" ht="12.75">
      <c r="A275" s="41"/>
    </row>
    <row r="276" ht="12.75">
      <c r="A276" s="41"/>
    </row>
    <row r="277" ht="12.75">
      <c r="A277" s="41"/>
    </row>
    <row r="278" ht="12.75">
      <c r="A278" s="41"/>
    </row>
    <row r="279" ht="12.75">
      <c r="A279" s="41"/>
    </row>
    <row r="280" ht="12.75">
      <c r="A280" s="41"/>
    </row>
    <row r="281" ht="12.75">
      <c r="A281" s="41"/>
    </row>
    <row r="282" ht="12.75">
      <c r="A282" s="41"/>
    </row>
    <row r="283" ht="12.75">
      <c r="A283" s="41"/>
    </row>
    <row r="284" ht="12.75">
      <c r="A284" s="41"/>
    </row>
    <row r="285" ht="12.75">
      <c r="A285" s="41"/>
    </row>
    <row r="286" ht="12.75">
      <c r="A286" s="41"/>
    </row>
    <row r="287" ht="12.75">
      <c r="A287" s="41"/>
    </row>
    <row r="288" ht="12.75">
      <c r="A288" s="41"/>
    </row>
    <row r="289" ht="12.75">
      <c r="A289" s="41"/>
    </row>
    <row r="290" ht="12.75">
      <c r="A290" s="41"/>
    </row>
    <row r="291" ht="12.75">
      <c r="A291" s="41"/>
    </row>
    <row r="292" ht="12.75">
      <c r="A292" s="41"/>
    </row>
    <row r="293" ht="12.75">
      <c r="A293" s="41"/>
    </row>
    <row r="294" ht="12.75">
      <c r="A294" s="41"/>
    </row>
    <row r="295" ht="12.75">
      <c r="A295" s="41"/>
    </row>
    <row r="296" ht="12.75">
      <c r="A296" s="41"/>
    </row>
    <row r="297" ht="12.75">
      <c r="A297" s="41"/>
    </row>
    <row r="298" ht="12.75">
      <c r="A298" s="41"/>
    </row>
    <row r="299" ht="12.75">
      <c r="A299" s="41"/>
    </row>
    <row r="300" ht="12.75">
      <c r="A300" s="41"/>
    </row>
    <row r="301" ht="12.75">
      <c r="A301" s="41"/>
    </row>
    <row r="302" ht="12.75">
      <c r="A302" s="41"/>
    </row>
    <row r="303" ht="12.75">
      <c r="A303" s="41"/>
    </row>
    <row r="304" ht="12.75">
      <c r="A304" s="41"/>
    </row>
    <row r="305" ht="12.75">
      <c r="A305" s="41"/>
    </row>
    <row r="306" ht="12.75">
      <c r="A306" s="41"/>
    </row>
    <row r="307" ht="12.75">
      <c r="A307" s="41"/>
    </row>
    <row r="308" ht="12.75">
      <c r="A308" s="41"/>
    </row>
    <row r="309" ht="12.75">
      <c r="A309" s="41"/>
    </row>
    <row r="310" ht="12.75">
      <c r="A310" s="41"/>
    </row>
    <row r="311" ht="12.75">
      <c r="A311" s="41"/>
    </row>
    <row r="312" ht="12.75">
      <c r="A312" s="41"/>
    </row>
    <row r="313" ht="12.75">
      <c r="A313" s="41"/>
    </row>
    <row r="314" ht="12.75">
      <c r="A314" s="41"/>
    </row>
    <row r="315" ht="12.75">
      <c r="A315" s="41"/>
    </row>
    <row r="316" ht="12.75">
      <c r="A316" s="41"/>
    </row>
    <row r="317" ht="12.75">
      <c r="A317" s="41"/>
    </row>
    <row r="318" ht="12.75">
      <c r="A318" s="41"/>
    </row>
    <row r="319" ht="12.75">
      <c r="A319" s="41"/>
    </row>
    <row r="320" ht="12.75">
      <c r="A320" s="41"/>
    </row>
    <row r="321" ht="12.75">
      <c r="A321" s="41"/>
    </row>
    <row r="322" ht="12.75">
      <c r="A322" s="41"/>
    </row>
    <row r="323" ht="12.75">
      <c r="A323" s="41"/>
    </row>
    <row r="324" ht="12.75">
      <c r="A324" s="41"/>
    </row>
    <row r="325" ht="12.75">
      <c r="A325" s="41"/>
    </row>
    <row r="326" ht="12.75">
      <c r="A326" s="41"/>
    </row>
    <row r="327" ht="12.75">
      <c r="A327" s="41"/>
    </row>
    <row r="328" ht="12.75">
      <c r="A328" s="41"/>
    </row>
    <row r="329" ht="12.75">
      <c r="A329" s="41"/>
    </row>
    <row r="330" ht="12.75">
      <c r="A330" s="41"/>
    </row>
    <row r="331" ht="12.75">
      <c r="A331" s="41"/>
    </row>
    <row r="332" ht="12.75">
      <c r="A332" s="41"/>
    </row>
    <row r="333" ht="12.75">
      <c r="A333" s="41"/>
    </row>
    <row r="334" ht="12.75">
      <c r="A334" s="41"/>
    </row>
    <row r="335" ht="12.75">
      <c r="A335" s="41"/>
    </row>
    <row r="336" ht="12.75">
      <c r="A336" s="41"/>
    </row>
    <row r="337" ht="12.75">
      <c r="A337" s="41"/>
    </row>
    <row r="338" ht="12.75">
      <c r="A338" s="41"/>
    </row>
    <row r="339" ht="12.75">
      <c r="A339" s="41"/>
    </row>
    <row r="340" ht="12.75">
      <c r="A340" s="41"/>
    </row>
    <row r="341" ht="12.75">
      <c r="A341" s="41"/>
    </row>
    <row r="342" ht="12.75">
      <c r="A342" s="41"/>
    </row>
    <row r="343" ht="12.75">
      <c r="A343" s="41"/>
    </row>
    <row r="344" ht="12.75">
      <c r="A344" s="41"/>
    </row>
    <row r="345" ht="12.75">
      <c r="A345" s="41"/>
    </row>
    <row r="346" ht="12.75">
      <c r="A346" s="41"/>
    </row>
    <row r="347" ht="12.75">
      <c r="A347" s="41"/>
    </row>
    <row r="348" ht="12.75">
      <c r="A348" s="41"/>
    </row>
    <row r="349" ht="12.75">
      <c r="A349" s="41"/>
    </row>
    <row r="350" ht="12.75">
      <c r="A350" s="41"/>
    </row>
    <row r="351" ht="12.75">
      <c r="A351" s="41"/>
    </row>
    <row r="352" ht="12.75">
      <c r="A352" s="41"/>
    </row>
    <row r="353" ht="12.75">
      <c r="A353" s="41"/>
    </row>
    <row r="354" ht="12.75">
      <c r="A354" s="41"/>
    </row>
    <row r="355" ht="12.75">
      <c r="A355" s="41"/>
    </row>
    <row r="356" ht="12.75">
      <c r="A356" s="41"/>
    </row>
    <row r="357" ht="12.75">
      <c r="A357" s="41"/>
    </row>
    <row r="358" ht="12.75">
      <c r="A358" s="41"/>
    </row>
    <row r="359" ht="12.75">
      <c r="A359" s="41"/>
    </row>
    <row r="360" ht="12.75">
      <c r="A360" s="41"/>
    </row>
    <row r="361" ht="12.75">
      <c r="A361" s="41"/>
    </row>
    <row r="362" ht="12.75">
      <c r="A362" s="41"/>
    </row>
    <row r="363" ht="12.75">
      <c r="A363" s="41"/>
    </row>
    <row r="364" ht="12.75">
      <c r="A364" s="41"/>
    </row>
    <row r="365" ht="12.75">
      <c r="A365" s="41"/>
    </row>
    <row r="366" ht="12.75">
      <c r="A366" s="41"/>
    </row>
    <row r="367" ht="12.75">
      <c r="A367" s="41"/>
    </row>
    <row r="368" ht="12.75">
      <c r="A368" s="41"/>
    </row>
    <row r="369" ht="12.75">
      <c r="A369" s="41"/>
    </row>
    <row r="370" ht="12.75">
      <c r="A370" s="41"/>
    </row>
    <row r="371" ht="12.75">
      <c r="A371" s="41"/>
    </row>
    <row r="372" ht="12.75">
      <c r="A372" s="41"/>
    </row>
    <row r="373" ht="12.75">
      <c r="A373" s="41"/>
    </row>
    <row r="374" ht="12.75">
      <c r="A374" s="41"/>
    </row>
    <row r="375" ht="12.75">
      <c r="A375" s="41"/>
    </row>
    <row r="376" ht="12.75">
      <c r="A376" s="41"/>
    </row>
    <row r="377" ht="12.75">
      <c r="A377" s="41"/>
    </row>
    <row r="378" ht="12.75">
      <c r="A378" s="41"/>
    </row>
    <row r="379" ht="12.75">
      <c r="A379" s="41"/>
    </row>
    <row r="380" ht="12.75">
      <c r="A380" s="41"/>
    </row>
    <row r="381" ht="12.75">
      <c r="A381" s="41"/>
    </row>
    <row r="382" ht="12.75">
      <c r="A382" s="41"/>
    </row>
    <row r="383" ht="12.75">
      <c r="A383" s="41"/>
    </row>
    <row r="384" ht="12.75">
      <c r="A384" s="41"/>
    </row>
    <row r="385" ht="12.75">
      <c r="A385" s="41"/>
    </row>
    <row r="386" ht="12.75">
      <c r="A386" s="41"/>
    </row>
    <row r="387" ht="12.75">
      <c r="A387" s="41"/>
    </row>
    <row r="388" ht="12.75">
      <c r="A388" s="41"/>
    </row>
    <row r="389" ht="12.75">
      <c r="A389" s="41"/>
    </row>
    <row r="390" ht="12.75">
      <c r="A390" s="41"/>
    </row>
    <row r="391" ht="12.75">
      <c r="A391" s="41"/>
    </row>
    <row r="392" ht="12.75">
      <c r="A392" s="41"/>
    </row>
    <row r="393" ht="12.75">
      <c r="A393" s="41"/>
    </row>
    <row r="394" ht="12.75">
      <c r="A394" s="41"/>
    </row>
    <row r="395" ht="12.75">
      <c r="A395" s="41"/>
    </row>
    <row r="396" ht="12.75">
      <c r="A396" s="41"/>
    </row>
    <row r="397" ht="12.75">
      <c r="A397" s="41"/>
    </row>
    <row r="398" ht="12.75">
      <c r="A398" s="41"/>
    </row>
    <row r="399" ht="12.75">
      <c r="A399" s="41"/>
    </row>
    <row r="400" ht="12.75">
      <c r="A400" s="41"/>
    </row>
    <row r="401" ht="12.75">
      <c r="A401" s="41"/>
    </row>
    <row r="402" ht="12.75">
      <c r="A402" s="41"/>
    </row>
    <row r="403" ht="12.75">
      <c r="A403" s="41"/>
    </row>
    <row r="404" ht="12.75">
      <c r="A404" s="41"/>
    </row>
    <row r="405" ht="12.75">
      <c r="A405" s="41"/>
    </row>
    <row r="406" ht="12.75">
      <c r="A406" s="41"/>
    </row>
    <row r="407" ht="12.75">
      <c r="A407" s="41"/>
    </row>
    <row r="408" ht="12.75">
      <c r="A408" s="41"/>
    </row>
    <row r="409" ht="12.75">
      <c r="A409" s="41"/>
    </row>
    <row r="410" ht="12.75">
      <c r="A410" s="41"/>
    </row>
    <row r="411" ht="12.75">
      <c r="A411" s="41"/>
    </row>
    <row r="412" ht="12.75">
      <c r="A412" s="41"/>
    </row>
    <row r="413" ht="12.75">
      <c r="A413" s="41"/>
    </row>
    <row r="414" ht="12.75">
      <c r="A414" s="41"/>
    </row>
    <row r="415" ht="12.75">
      <c r="A415" s="41"/>
    </row>
    <row r="416" ht="12.75">
      <c r="A416" s="41"/>
    </row>
    <row r="417" ht="12.75">
      <c r="A417" s="41"/>
    </row>
    <row r="418" ht="12.75">
      <c r="A418" s="41"/>
    </row>
    <row r="419" ht="12.75">
      <c r="A419" s="41"/>
    </row>
    <row r="420" ht="12.75">
      <c r="A420" s="41"/>
    </row>
    <row r="421" ht="12.75">
      <c r="A421" s="41"/>
    </row>
    <row r="422" ht="12.75">
      <c r="A422" s="41"/>
    </row>
    <row r="423" ht="12.75">
      <c r="A423" s="41"/>
    </row>
    <row r="424" ht="12.75">
      <c r="A424" s="41"/>
    </row>
    <row r="425" ht="12.75">
      <c r="A425" s="41"/>
    </row>
    <row r="426" ht="12.75">
      <c r="A426" s="41"/>
    </row>
    <row r="427" ht="12.75">
      <c r="A427" s="41"/>
    </row>
    <row r="428" ht="12.75">
      <c r="A428" s="41"/>
    </row>
    <row r="429" ht="12.75">
      <c r="A429" s="41"/>
    </row>
    <row r="430" ht="12.75">
      <c r="A430" s="41"/>
    </row>
    <row r="431" ht="12.75">
      <c r="A431" s="41"/>
    </row>
    <row r="432" ht="12.75">
      <c r="A432" s="41"/>
    </row>
    <row r="433" ht="12.75">
      <c r="A433" s="41"/>
    </row>
    <row r="434" ht="12.75">
      <c r="A434" s="41"/>
    </row>
    <row r="435" ht="12.75">
      <c r="A435" s="41"/>
    </row>
    <row r="436" ht="12.75">
      <c r="A436" s="41"/>
    </row>
    <row r="437" ht="12.75">
      <c r="A437" s="41"/>
    </row>
    <row r="438" ht="12.75">
      <c r="A438" s="41"/>
    </row>
    <row r="439" ht="12.75">
      <c r="A439" s="41"/>
    </row>
    <row r="440" ht="12.75">
      <c r="A440" s="41"/>
    </row>
    <row r="441" ht="12.75">
      <c r="A441" s="41"/>
    </row>
    <row r="442" ht="12.75">
      <c r="A442" s="41"/>
    </row>
    <row r="443" ht="12.75">
      <c r="A443" s="41"/>
    </row>
    <row r="444" ht="12.75">
      <c r="A444" s="41"/>
    </row>
    <row r="445" ht="12.75">
      <c r="A445" s="41"/>
    </row>
    <row r="446" ht="12.75">
      <c r="A446" s="41"/>
    </row>
    <row r="447" ht="12.75">
      <c r="A447" s="41"/>
    </row>
    <row r="448" ht="12.75">
      <c r="A448" s="41"/>
    </row>
    <row r="449" ht="12.75">
      <c r="A449" s="41"/>
    </row>
    <row r="450" ht="12.75">
      <c r="A450" s="41"/>
    </row>
    <row r="451" ht="12.75">
      <c r="A451" s="41"/>
    </row>
    <row r="452" ht="12.75">
      <c r="A452" s="41"/>
    </row>
    <row r="453" ht="12.75">
      <c r="A453" s="41"/>
    </row>
    <row r="454" ht="12.75">
      <c r="A454" s="41"/>
    </row>
    <row r="455" ht="12.75">
      <c r="A455" s="41"/>
    </row>
    <row r="456" ht="12.75">
      <c r="A456" s="41"/>
    </row>
    <row r="457" ht="12.75">
      <c r="A457" s="41"/>
    </row>
    <row r="458" ht="12.75">
      <c r="A458" s="41"/>
    </row>
    <row r="459" ht="12.75">
      <c r="A459" s="41"/>
    </row>
    <row r="460" ht="12.75">
      <c r="A460" s="41"/>
    </row>
    <row r="461" ht="12.75">
      <c r="A461" s="41"/>
    </row>
    <row r="462" ht="12.75">
      <c r="A462" s="41"/>
    </row>
    <row r="463" ht="12.75">
      <c r="A463" s="41"/>
    </row>
    <row r="464" ht="12.75">
      <c r="A464" s="41"/>
    </row>
    <row r="465" ht="12.75">
      <c r="A465" s="41"/>
    </row>
    <row r="466" ht="12.75">
      <c r="A466" s="41"/>
    </row>
    <row r="467" ht="12.75">
      <c r="A467" s="41"/>
    </row>
    <row r="468" ht="12.75">
      <c r="A468" s="41"/>
    </row>
    <row r="469" ht="12.75">
      <c r="A469" s="41"/>
    </row>
    <row r="470" ht="12.75">
      <c r="A470" s="41"/>
    </row>
    <row r="471" ht="12.75">
      <c r="A471" s="41"/>
    </row>
    <row r="472" ht="12.75">
      <c r="A472" s="41"/>
    </row>
    <row r="473" ht="12.75">
      <c r="A473" s="41"/>
    </row>
    <row r="474" ht="12.75">
      <c r="A474" s="41"/>
    </row>
    <row r="475" ht="12.75">
      <c r="A475" s="41"/>
    </row>
    <row r="476" ht="12.75">
      <c r="A476" s="41"/>
    </row>
    <row r="477" ht="12.75">
      <c r="A477" s="41"/>
    </row>
    <row r="478" ht="12.75">
      <c r="A478" s="41"/>
    </row>
    <row r="479" ht="12.75">
      <c r="A479" s="41"/>
    </row>
    <row r="480" ht="12.75">
      <c r="A480" s="41"/>
    </row>
    <row r="481" ht="12.75">
      <c r="A481" s="41"/>
    </row>
    <row r="482" ht="12.75">
      <c r="A482" s="41"/>
    </row>
    <row r="483" ht="12.75">
      <c r="A483" s="41"/>
    </row>
    <row r="484" ht="12.75">
      <c r="A484" s="41"/>
    </row>
    <row r="485" ht="12.75">
      <c r="A485" s="41"/>
    </row>
    <row r="486" ht="12.75">
      <c r="A486" s="41"/>
    </row>
    <row r="487" ht="12.75">
      <c r="A487" s="41"/>
    </row>
    <row r="488" ht="12.75">
      <c r="A488" s="41"/>
    </row>
    <row r="489" ht="12.75">
      <c r="A489" s="41"/>
    </row>
    <row r="490" ht="12.75">
      <c r="A490" s="41"/>
    </row>
    <row r="491" ht="12.75">
      <c r="A491" s="41"/>
    </row>
    <row r="492" ht="12.75">
      <c r="A492" s="41"/>
    </row>
    <row r="493" ht="12.75">
      <c r="A493" s="41"/>
    </row>
    <row r="494" ht="12.75">
      <c r="A494" s="41"/>
    </row>
    <row r="495" ht="12.75">
      <c r="A495" s="41"/>
    </row>
    <row r="496" ht="12.75">
      <c r="A496" s="41"/>
    </row>
    <row r="497" ht="12.75">
      <c r="A497" s="41"/>
    </row>
    <row r="498" ht="12.75">
      <c r="A498" s="41"/>
    </row>
    <row r="499" ht="12.75">
      <c r="A499" s="41"/>
    </row>
    <row r="500" ht="12.75">
      <c r="A500" s="41"/>
    </row>
    <row r="501" ht="12.75">
      <c r="A501" s="41"/>
    </row>
    <row r="502" ht="12.75">
      <c r="A502" s="41"/>
    </row>
    <row r="503" ht="12.75">
      <c r="A503" s="41"/>
    </row>
    <row r="504" ht="12.75">
      <c r="A504" s="41"/>
    </row>
    <row r="505" ht="12.75">
      <c r="A505" s="41"/>
    </row>
    <row r="506" ht="12.75">
      <c r="A506" s="41"/>
    </row>
    <row r="507" ht="12.75">
      <c r="A507" s="41"/>
    </row>
    <row r="508" ht="12.75">
      <c r="A508" s="41"/>
    </row>
    <row r="509" ht="12.75">
      <c r="A509" s="41"/>
    </row>
    <row r="510" ht="12.75">
      <c r="A510" s="41"/>
    </row>
    <row r="511" ht="12.75">
      <c r="A511" s="41"/>
    </row>
    <row r="512" ht="12.75">
      <c r="A512" s="41"/>
    </row>
    <row r="513" ht="12.75">
      <c r="A513" s="41"/>
    </row>
    <row r="514" ht="12.75">
      <c r="A514" s="41"/>
    </row>
    <row r="515" ht="12.75">
      <c r="A515" s="41"/>
    </row>
    <row r="516" ht="12.75">
      <c r="A516" s="41"/>
    </row>
    <row r="517" ht="12.75">
      <c r="A517" s="41"/>
    </row>
    <row r="518" ht="12.75">
      <c r="A518" s="41"/>
    </row>
    <row r="519" ht="12.75">
      <c r="A519" s="41"/>
    </row>
    <row r="520" ht="12.75">
      <c r="A520" s="41"/>
    </row>
    <row r="521" ht="12.75">
      <c r="A521" s="41"/>
    </row>
    <row r="522" ht="12.75">
      <c r="A522" s="41"/>
    </row>
    <row r="523" ht="12.75">
      <c r="A523" s="41"/>
    </row>
    <row r="524" ht="12.75">
      <c r="A524" s="41"/>
    </row>
    <row r="525" ht="12.75">
      <c r="A525" s="41"/>
    </row>
    <row r="526" ht="12.75">
      <c r="A526" s="41"/>
    </row>
    <row r="527" ht="12.75">
      <c r="A527" s="41"/>
    </row>
    <row r="528" ht="12.75">
      <c r="A528" s="41"/>
    </row>
    <row r="529" ht="12.75">
      <c r="A529" s="41"/>
    </row>
    <row r="530" ht="12.75">
      <c r="A530" s="41"/>
    </row>
    <row r="531" ht="12.75">
      <c r="A531" s="41"/>
    </row>
    <row r="532" ht="12.75">
      <c r="A532" s="41"/>
    </row>
    <row r="533" ht="12.75">
      <c r="A533" s="41"/>
    </row>
    <row r="534" ht="12.75">
      <c r="A534" s="41"/>
    </row>
    <row r="535" ht="12.75">
      <c r="A535" s="41"/>
    </row>
    <row r="536" ht="12.75">
      <c r="A536" s="41"/>
    </row>
    <row r="537" ht="12.75">
      <c r="A537" s="41"/>
    </row>
    <row r="538" ht="12.75">
      <c r="A538" s="41"/>
    </row>
    <row r="539" ht="12.75">
      <c r="A539" s="41"/>
    </row>
    <row r="540" ht="12.75">
      <c r="A540" s="41"/>
    </row>
    <row r="541" ht="12.75">
      <c r="A541" s="41"/>
    </row>
    <row r="542" ht="12.75">
      <c r="A542" s="41"/>
    </row>
    <row r="543" ht="12.75">
      <c r="A543" s="41"/>
    </row>
    <row r="544" ht="12.75">
      <c r="A544" s="41"/>
    </row>
    <row r="545" ht="12.75">
      <c r="A545" s="41"/>
    </row>
    <row r="546" ht="12.75">
      <c r="A546" s="41"/>
    </row>
    <row r="547" ht="12.75">
      <c r="A547" s="41"/>
    </row>
    <row r="548" ht="12.75">
      <c r="A548" s="41"/>
    </row>
    <row r="549" ht="12.75">
      <c r="A549" s="41"/>
    </row>
    <row r="550" ht="12.75">
      <c r="A550" s="41"/>
    </row>
    <row r="551" ht="12.75">
      <c r="A551" s="41"/>
    </row>
    <row r="552" ht="12.75">
      <c r="A552" s="41"/>
    </row>
    <row r="553" ht="12.75">
      <c r="A553" s="41"/>
    </row>
    <row r="554" ht="12.75">
      <c r="A554" s="41"/>
    </row>
    <row r="555" ht="12.75">
      <c r="A555" s="41"/>
    </row>
    <row r="556" ht="12.75">
      <c r="A556" s="41"/>
    </row>
    <row r="557" ht="12.75">
      <c r="A557" s="41"/>
    </row>
    <row r="558" ht="12.75">
      <c r="A558" s="41"/>
    </row>
    <row r="559" ht="12.75">
      <c r="A559" s="41"/>
    </row>
    <row r="560" ht="12.75">
      <c r="A560" s="41"/>
    </row>
    <row r="561" ht="12.75">
      <c r="A561" s="41"/>
    </row>
    <row r="562" ht="12.75">
      <c r="A562" s="41"/>
    </row>
    <row r="563" ht="12.75">
      <c r="A563" s="41"/>
    </row>
    <row r="564" ht="12.75">
      <c r="A564" s="41"/>
    </row>
    <row r="565" ht="12.75">
      <c r="A565" s="41"/>
    </row>
    <row r="566" ht="12.75">
      <c r="A566" s="41"/>
    </row>
    <row r="567" ht="12.75">
      <c r="A567" s="41"/>
    </row>
    <row r="568" ht="12.75">
      <c r="A568" s="41"/>
    </row>
    <row r="569" ht="12.75">
      <c r="A569" s="41"/>
    </row>
    <row r="570" ht="12.75">
      <c r="A570" s="41"/>
    </row>
    <row r="571" ht="12.75">
      <c r="A571" s="41"/>
    </row>
    <row r="572" ht="12.75">
      <c r="A572" s="41"/>
    </row>
    <row r="573" ht="12.75">
      <c r="A573" s="41"/>
    </row>
    <row r="574" ht="12.75">
      <c r="A574" s="41"/>
    </row>
    <row r="575" ht="12.75">
      <c r="A575" s="41"/>
    </row>
    <row r="576" ht="12.75">
      <c r="A576" s="41"/>
    </row>
    <row r="577" ht="12.75">
      <c r="A577" s="41"/>
    </row>
    <row r="578" ht="12.75">
      <c r="A578" s="41"/>
    </row>
    <row r="579" ht="12.75">
      <c r="A579" s="41"/>
    </row>
    <row r="580" ht="12.75">
      <c r="A580" s="41"/>
    </row>
    <row r="581" ht="12.75">
      <c r="A581" s="41"/>
    </row>
    <row r="582" ht="12.75">
      <c r="A582" s="41"/>
    </row>
    <row r="583" ht="12.75">
      <c r="A583" s="41"/>
    </row>
    <row r="584" ht="12.75">
      <c r="A584" s="41"/>
    </row>
    <row r="585" ht="12.75">
      <c r="A585" s="41"/>
    </row>
    <row r="586" ht="12.75">
      <c r="A586" s="41"/>
    </row>
    <row r="587" ht="12.75">
      <c r="A587" s="41"/>
    </row>
    <row r="588" ht="12.75">
      <c r="A588" s="41"/>
    </row>
    <row r="589" ht="12.75">
      <c r="A589" s="41"/>
    </row>
    <row r="590" ht="12.75">
      <c r="A590" s="41"/>
    </row>
    <row r="591" ht="12.75">
      <c r="A591" s="41"/>
    </row>
    <row r="592" ht="12.75">
      <c r="A592" s="41"/>
    </row>
    <row r="593" ht="12.75">
      <c r="A593" s="41"/>
    </row>
    <row r="594" ht="12.75">
      <c r="A594" s="41"/>
    </row>
    <row r="595" ht="12.75">
      <c r="A595" s="41"/>
    </row>
    <row r="596" ht="12.75">
      <c r="A596" s="41"/>
    </row>
    <row r="597" ht="12.75">
      <c r="A597" s="41"/>
    </row>
    <row r="598" ht="12.75">
      <c r="A598" s="41"/>
    </row>
    <row r="599" ht="12.75">
      <c r="A599" s="41"/>
    </row>
    <row r="600" ht="12.75">
      <c r="A600" s="41"/>
    </row>
    <row r="601" ht="12.75">
      <c r="A601" s="41"/>
    </row>
    <row r="602" ht="12.75">
      <c r="A602" s="41"/>
    </row>
    <row r="603" ht="12.75">
      <c r="A603" s="41"/>
    </row>
    <row r="604" ht="12.75">
      <c r="A604" s="41"/>
    </row>
    <row r="605" ht="12.75">
      <c r="A605" s="41"/>
    </row>
    <row r="606" ht="12.75">
      <c r="A606" s="41"/>
    </row>
    <row r="607" ht="12.75">
      <c r="A607" s="41"/>
    </row>
    <row r="608" ht="12.75">
      <c r="A608" s="41"/>
    </row>
    <row r="609" ht="12.75">
      <c r="A609" s="41"/>
    </row>
    <row r="610" ht="12.75">
      <c r="A610" s="41"/>
    </row>
    <row r="611" ht="12.75">
      <c r="A611" s="41"/>
    </row>
    <row r="612" ht="12.75">
      <c r="A612" s="41"/>
    </row>
    <row r="613" ht="12.75">
      <c r="A613" s="41"/>
    </row>
    <row r="614" ht="12.75">
      <c r="A614" s="41"/>
    </row>
    <row r="615" ht="12.75">
      <c r="A615" s="41"/>
    </row>
    <row r="616" ht="12.75">
      <c r="A616" s="41"/>
    </row>
    <row r="617" ht="12.75">
      <c r="A617" s="41"/>
    </row>
    <row r="618" ht="12.75">
      <c r="A618" s="41"/>
    </row>
    <row r="619" ht="12.75">
      <c r="A619" s="41"/>
    </row>
    <row r="620" ht="12.75">
      <c r="A620" s="41"/>
    </row>
    <row r="621" ht="12.75">
      <c r="A621" s="41"/>
    </row>
    <row r="622" ht="12.75">
      <c r="A622" s="41"/>
    </row>
    <row r="623" ht="12.75">
      <c r="A623" s="41"/>
    </row>
    <row r="624" ht="12.75">
      <c r="A624" s="41"/>
    </row>
    <row r="625" ht="12.75">
      <c r="A625" s="41"/>
    </row>
    <row r="626" ht="12.75">
      <c r="A626" s="41"/>
    </row>
    <row r="627" ht="12.75">
      <c r="A627" s="41"/>
    </row>
    <row r="628" ht="12.75">
      <c r="A628" s="41"/>
    </row>
    <row r="629" ht="12.75">
      <c r="A629" s="41"/>
    </row>
    <row r="630" ht="12.75">
      <c r="A630" s="41"/>
    </row>
    <row r="631" ht="12.75">
      <c r="A631" s="41"/>
    </row>
    <row r="632" ht="12.75">
      <c r="A632" s="41"/>
    </row>
    <row r="633" ht="12.75">
      <c r="A633" s="41"/>
    </row>
    <row r="634" ht="12.75">
      <c r="A634" s="41"/>
    </row>
    <row r="635" ht="12.75">
      <c r="A635" s="41"/>
    </row>
    <row r="636" ht="12.75">
      <c r="A636" s="41"/>
    </row>
    <row r="637" ht="12.75">
      <c r="A637" s="41"/>
    </row>
    <row r="638" ht="12.75">
      <c r="A638" s="41"/>
    </row>
    <row r="639" ht="12.75">
      <c r="A639" s="41"/>
    </row>
    <row r="640" ht="12.75">
      <c r="A640" s="41"/>
    </row>
    <row r="641" ht="12.75">
      <c r="A641" s="41"/>
    </row>
    <row r="642" ht="12.75">
      <c r="A642" s="41"/>
    </row>
    <row r="643" ht="12.75">
      <c r="A643" s="41"/>
    </row>
    <row r="644" ht="12.75">
      <c r="A644" s="41"/>
    </row>
    <row r="645" ht="12.75">
      <c r="A645" s="41"/>
    </row>
    <row r="646" ht="12.75">
      <c r="A646" s="41"/>
    </row>
    <row r="647" ht="12.75">
      <c r="A647" s="41"/>
    </row>
    <row r="648" ht="12.75">
      <c r="A648" s="41"/>
    </row>
    <row r="649" ht="12.75">
      <c r="A649" s="41"/>
    </row>
    <row r="650" ht="12.75">
      <c r="A650" s="41"/>
    </row>
    <row r="651" ht="12.75">
      <c r="A651" s="41"/>
    </row>
    <row r="652" ht="12.75">
      <c r="A652" s="41"/>
    </row>
    <row r="653" ht="12.75">
      <c r="A653" s="41"/>
    </row>
    <row r="654" ht="12.75">
      <c r="A654" s="41"/>
    </row>
    <row r="655" ht="12.75">
      <c r="A655" s="41"/>
    </row>
    <row r="656" ht="12.75">
      <c r="A656" s="41"/>
    </row>
    <row r="657" ht="12.75">
      <c r="A657" s="41"/>
    </row>
    <row r="658" ht="12.75">
      <c r="A658" s="41"/>
    </row>
    <row r="659" ht="12.75">
      <c r="A659" s="41"/>
    </row>
    <row r="660" ht="12.75">
      <c r="A660" s="41"/>
    </row>
    <row r="661" ht="12.75">
      <c r="A661" s="41"/>
    </row>
    <row r="662" ht="12.75">
      <c r="A662" s="41"/>
    </row>
    <row r="663" ht="12.75">
      <c r="A663" s="41"/>
    </row>
    <row r="664" ht="12.75">
      <c r="A664" s="41"/>
    </row>
    <row r="665" ht="12.75">
      <c r="A665" s="41"/>
    </row>
    <row r="666" ht="12.75">
      <c r="A666" s="41"/>
    </row>
    <row r="667" ht="12.75">
      <c r="A667" s="41"/>
    </row>
    <row r="668" ht="12.75">
      <c r="A668" s="41"/>
    </row>
    <row r="669" ht="12.75">
      <c r="A669" s="41"/>
    </row>
    <row r="670" ht="12.75">
      <c r="A670" s="41"/>
    </row>
    <row r="671" ht="12.75">
      <c r="A671" s="41"/>
    </row>
    <row r="672" ht="12.75">
      <c r="A672" s="41"/>
    </row>
    <row r="673" ht="12.75">
      <c r="A673" s="41"/>
    </row>
    <row r="674" ht="12.75">
      <c r="A674" s="41"/>
    </row>
    <row r="675" ht="12.75">
      <c r="A675" s="41"/>
    </row>
    <row r="676" ht="12.75">
      <c r="A676" s="41"/>
    </row>
    <row r="677" ht="12.75">
      <c r="A677" s="41"/>
    </row>
    <row r="678" ht="12.75">
      <c r="A678" s="41"/>
    </row>
    <row r="679" ht="12.75">
      <c r="A679" s="41"/>
    </row>
    <row r="680" ht="12.75">
      <c r="A680" s="41"/>
    </row>
    <row r="681" ht="12.75">
      <c r="A681" s="41"/>
    </row>
    <row r="682" ht="12.75">
      <c r="A682" s="41"/>
    </row>
    <row r="683" ht="12.75">
      <c r="A683" s="41"/>
    </row>
    <row r="684" ht="12.75">
      <c r="A684" s="41"/>
    </row>
    <row r="685" ht="12.75">
      <c r="A685" s="41"/>
    </row>
    <row r="686" ht="12.75">
      <c r="A686" s="41"/>
    </row>
    <row r="687" ht="12.75">
      <c r="A687" s="41"/>
    </row>
    <row r="688" ht="12.75">
      <c r="A688" s="41"/>
    </row>
    <row r="689" ht="12.75">
      <c r="A689" s="41"/>
    </row>
    <row r="690" ht="12.75">
      <c r="A690" s="41"/>
    </row>
    <row r="691" ht="12.75">
      <c r="A691" s="41"/>
    </row>
    <row r="692" ht="12.75">
      <c r="A692" s="41"/>
    </row>
    <row r="693" ht="12.75">
      <c r="A693" s="41"/>
    </row>
    <row r="694" ht="12.75">
      <c r="A694" s="41"/>
    </row>
    <row r="695" ht="12.75">
      <c r="A695" s="41"/>
    </row>
    <row r="696" ht="12.75">
      <c r="A696" s="41"/>
    </row>
    <row r="697" ht="12.75">
      <c r="A697" s="41"/>
    </row>
    <row r="698" ht="12.75">
      <c r="A698" s="41"/>
    </row>
    <row r="699" ht="12.75">
      <c r="A699" s="41"/>
    </row>
    <row r="700" ht="12.75">
      <c r="A700" s="41"/>
    </row>
    <row r="701" ht="12.75">
      <c r="A701" s="41"/>
    </row>
    <row r="702" ht="12.75">
      <c r="A702" s="41"/>
    </row>
    <row r="703" ht="12.75">
      <c r="A703" s="41"/>
    </row>
    <row r="704" ht="12.75">
      <c r="A704" s="41"/>
    </row>
    <row r="705" ht="12.75">
      <c r="A705" s="41"/>
    </row>
    <row r="706" ht="12.75">
      <c r="A706" s="41"/>
    </row>
    <row r="707" ht="12.75">
      <c r="A707" s="41"/>
    </row>
    <row r="708" ht="12.75">
      <c r="A708" s="41"/>
    </row>
    <row r="709" ht="12.75">
      <c r="A709" s="41"/>
    </row>
    <row r="710" ht="12.75">
      <c r="A710" s="41"/>
    </row>
    <row r="711" ht="12.75">
      <c r="A711" s="41"/>
    </row>
    <row r="712" ht="12.75">
      <c r="A712" s="41"/>
    </row>
    <row r="713" ht="12.75">
      <c r="A713" s="41"/>
    </row>
    <row r="714" ht="12.75">
      <c r="A714" s="41"/>
    </row>
    <row r="715" ht="12.75">
      <c r="A715" s="41"/>
    </row>
    <row r="716" ht="12.75">
      <c r="A716" s="41"/>
    </row>
    <row r="717" ht="12.75">
      <c r="A717" s="41"/>
    </row>
    <row r="718" ht="12.75">
      <c r="A718" s="41"/>
    </row>
    <row r="719" ht="12.75">
      <c r="A719" s="41"/>
    </row>
    <row r="720" ht="12.75">
      <c r="A720" s="41"/>
    </row>
    <row r="721" ht="12.75">
      <c r="A721" s="41"/>
    </row>
    <row r="722" ht="12.75">
      <c r="A722" s="41"/>
    </row>
    <row r="723" ht="12.75">
      <c r="A723" s="41"/>
    </row>
    <row r="724" ht="12.75">
      <c r="A724" s="41"/>
    </row>
    <row r="725" ht="12.75">
      <c r="A725" s="41"/>
    </row>
    <row r="726" ht="12.75">
      <c r="A726" s="41"/>
    </row>
    <row r="727" ht="12.75">
      <c r="A727" s="41"/>
    </row>
    <row r="728" ht="12.75">
      <c r="A728" s="41"/>
    </row>
    <row r="729" ht="12.75">
      <c r="A729" s="41"/>
    </row>
    <row r="730" ht="12.75">
      <c r="A730" s="41"/>
    </row>
    <row r="731" ht="12.75">
      <c r="A731" s="41"/>
    </row>
    <row r="732" ht="12.75">
      <c r="A732" s="41"/>
    </row>
    <row r="733" ht="12.75">
      <c r="A733" s="41"/>
    </row>
    <row r="734" ht="12.75">
      <c r="A734" s="41"/>
    </row>
    <row r="735" ht="12.75">
      <c r="A735" s="41"/>
    </row>
    <row r="736" ht="12.75">
      <c r="A736" s="41"/>
    </row>
    <row r="737" ht="12.75">
      <c r="A737" s="41"/>
    </row>
    <row r="738" ht="12.75">
      <c r="A738" s="41"/>
    </row>
    <row r="739" ht="12.75">
      <c r="A739" s="41"/>
    </row>
    <row r="740" ht="12.75">
      <c r="A740" s="41"/>
    </row>
    <row r="741" ht="12.75">
      <c r="A741" s="41"/>
    </row>
    <row r="742" ht="12.75">
      <c r="A742" s="41"/>
    </row>
    <row r="743" ht="12.75">
      <c r="A743" s="41"/>
    </row>
    <row r="744" ht="12.75">
      <c r="A744" s="41"/>
    </row>
    <row r="745" ht="12.75">
      <c r="A745" s="41"/>
    </row>
    <row r="746" ht="12.75">
      <c r="A746" s="41"/>
    </row>
    <row r="747" ht="12.75">
      <c r="A747" s="41"/>
    </row>
    <row r="748" ht="12.75">
      <c r="A748" s="41"/>
    </row>
    <row r="749" ht="12.75">
      <c r="A749" s="41"/>
    </row>
    <row r="750" ht="12.75">
      <c r="A750" s="41"/>
    </row>
    <row r="751" ht="12.75">
      <c r="A751" s="41"/>
    </row>
    <row r="752" ht="12.75">
      <c r="A752" s="41"/>
    </row>
    <row r="753" ht="12.75">
      <c r="A753" s="41"/>
    </row>
    <row r="754" ht="12.75">
      <c r="A754" s="41"/>
    </row>
    <row r="755" ht="12.75">
      <c r="A755" s="41"/>
    </row>
    <row r="756" ht="12.75">
      <c r="A756" s="41"/>
    </row>
    <row r="757" ht="12.75">
      <c r="A757" s="41"/>
    </row>
    <row r="758" ht="12.75">
      <c r="A758" s="41"/>
    </row>
    <row r="759" ht="12.75">
      <c r="A759" s="41"/>
    </row>
    <row r="760" ht="12.75">
      <c r="A760" s="41"/>
    </row>
    <row r="761" ht="12.75">
      <c r="A761" s="41"/>
    </row>
    <row r="762" ht="12.75">
      <c r="A762" s="41"/>
    </row>
    <row r="763" ht="12.75">
      <c r="A763" s="41"/>
    </row>
    <row r="764" ht="12.75">
      <c r="A764" s="41"/>
    </row>
    <row r="765" ht="12.75">
      <c r="A765" s="41"/>
    </row>
    <row r="766" ht="12.75">
      <c r="A766" s="41"/>
    </row>
    <row r="767" ht="12.75">
      <c r="A767" s="41"/>
    </row>
    <row r="768" ht="12.75">
      <c r="A768" s="41"/>
    </row>
    <row r="769" ht="12.75">
      <c r="A769" s="41"/>
    </row>
    <row r="770" ht="12.75">
      <c r="A770" s="41"/>
    </row>
    <row r="771" ht="12.75">
      <c r="A771" s="41"/>
    </row>
    <row r="772" ht="12.75">
      <c r="A772" s="41"/>
    </row>
    <row r="773" ht="12.75">
      <c r="A773" s="41"/>
    </row>
    <row r="774" ht="12.75">
      <c r="A774" s="41"/>
    </row>
    <row r="775" ht="12.75">
      <c r="A775" s="41"/>
    </row>
    <row r="776" ht="12.75">
      <c r="A776" s="41"/>
    </row>
    <row r="777" ht="12.75">
      <c r="A777" s="41"/>
    </row>
    <row r="778" ht="12.75">
      <c r="A778" s="41"/>
    </row>
    <row r="779" ht="12.75">
      <c r="A779" s="41"/>
    </row>
    <row r="780" ht="12.75">
      <c r="A780" s="41"/>
    </row>
    <row r="781" ht="12.75">
      <c r="A781" s="41"/>
    </row>
    <row r="782" ht="12.75">
      <c r="A782" s="41"/>
    </row>
    <row r="783" ht="12.75">
      <c r="A783" s="41"/>
    </row>
    <row r="784" ht="12.75">
      <c r="A784" s="41"/>
    </row>
    <row r="785" ht="12.75">
      <c r="A785" s="41"/>
    </row>
    <row r="786" ht="12.75">
      <c r="A786" s="41"/>
    </row>
    <row r="787" ht="12.75">
      <c r="A787" s="41"/>
    </row>
    <row r="788" ht="12.75">
      <c r="A788" s="41"/>
    </row>
    <row r="789" ht="12.75">
      <c r="A789" s="41"/>
    </row>
    <row r="790" ht="12.75">
      <c r="A790" s="41"/>
    </row>
    <row r="791" ht="12.75">
      <c r="A791" s="41"/>
    </row>
    <row r="792" ht="12.75">
      <c r="A792" s="41"/>
    </row>
    <row r="793" ht="12.75">
      <c r="A793" s="41"/>
    </row>
    <row r="794" ht="12.75">
      <c r="A794" s="41"/>
    </row>
    <row r="795" ht="12.75">
      <c r="A795" s="41"/>
    </row>
    <row r="796" ht="12.75">
      <c r="A796" s="41"/>
    </row>
    <row r="797" ht="12.75">
      <c r="A797" s="41"/>
    </row>
    <row r="798" ht="12.75">
      <c r="A798" s="41"/>
    </row>
    <row r="799" ht="12.75">
      <c r="A799" s="41"/>
    </row>
    <row r="800" ht="12.75">
      <c r="A800" s="41"/>
    </row>
    <row r="801" ht="12.75">
      <c r="A801" s="41"/>
    </row>
    <row r="802" ht="12.75">
      <c r="A802" s="41"/>
    </row>
    <row r="803" ht="12.75">
      <c r="A803" s="41"/>
    </row>
    <row r="804" ht="12.75">
      <c r="A804" s="41"/>
    </row>
    <row r="805" ht="12.75">
      <c r="A805" s="41"/>
    </row>
    <row r="806" ht="12.75">
      <c r="A806" s="41"/>
    </row>
    <row r="807" ht="12.75">
      <c r="A807" s="41"/>
    </row>
    <row r="808" ht="12.75">
      <c r="A808" s="41"/>
    </row>
    <row r="809" ht="12.75">
      <c r="A809" s="41"/>
    </row>
    <row r="810" ht="12.75">
      <c r="A810" s="41"/>
    </row>
    <row r="811" ht="12.75">
      <c r="A811" s="41"/>
    </row>
    <row r="812" ht="12.75">
      <c r="A812" s="41"/>
    </row>
    <row r="813" ht="12.75">
      <c r="A813" s="41"/>
    </row>
    <row r="814" ht="12.75">
      <c r="A814" s="41"/>
    </row>
    <row r="815" ht="12.75">
      <c r="A815" s="41"/>
    </row>
    <row r="816" ht="12.75">
      <c r="A816" s="41"/>
    </row>
    <row r="817" ht="12.75">
      <c r="A817" s="41"/>
    </row>
    <row r="818" ht="12.75">
      <c r="A818" s="41"/>
    </row>
    <row r="819" ht="12.75">
      <c r="A819" s="41"/>
    </row>
    <row r="820" ht="12.75">
      <c r="A820" s="41"/>
    </row>
    <row r="821" ht="12.75">
      <c r="A821" s="41"/>
    </row>
    <row r="822" ht="12.75">
      <c r="A822" s="41"/>
    </row>
    <row r="823" ht="12.75">
      <c r="A823" s="41"/>
    </row>
    <row r="824" ht="12.75">
      <c r="A824" s="41"/>
    </row>
    <row r="825" ht="12.75">
      <c r="A825" s="41"/>
    </row>
    <row r="826" ht="12.75">
      <c r="A826" s="41"/>
    </row>
    <row r="827" ht="12.75">
      <c r="A827" s="41"/>
    </row>
    <row r="828" ht="12.75">
      <c r="A828" s="41"/>
    </row>
    <row r="829" ht="12.75">
      <c r="A829" s="41"/>
    </row>
    <row r="830" ht="12.75">
      <c r="A830" s="41"/>
    </row>
    <row r="831" ht="12.75">
      <c r="A831" s="41"/>
    </row>
    <row r="832" ht="12.75">
      <c r="A832" s="41"/>
    </row>
    <row r="833" ht="12.75">
      <c r="A833" s="41"/>
    </row>
    <row r="834" ht="12.75">
      <c r="A834" s="41"/>
    </row>
    <row r="835" ht="12.75">
      <c r="A835" s="41"/>
    </row>
    <row r="836" ht="12.75">
      <c r="A836" s="41"/>
    </row>
    <row r="837" ht="12.75">
      <c r="A837" s="41"/>
    </row>
    <row r="838" ht="12.75">
      <c r="A838" s="41"/>
    </row>
    <row r="839" ht="12.75">
      <c r="A839" s="41"/>
    </row>
    <row r="840" ht="12.75">
      <c r="A840" s="41"/>
    </row>
    <row r="841" ht="12.75">
      <c r="A841" s="41"/>
    </row>
    <row r="842" ht="12.75">
      <c r="A842" s="41"/>
    </row>
    <row r="843" ht="12.75">
      <c r="A843" s="41"/>
    </row>
    <row r="844" ht="12.75">
      <c r="A844" s="41"/>
    </row>
    <row r="845" ht="12.75">
      <c r="A845" s="41"/>
    </row>
    <row r="846" ht="12.75">
      <c r="A846" s="41"/>
    </row>
    <row r="847" ht="12.75">
      <c r="A847" s="41"/>
    </row>
    <row r="848" ht="12.75">
      <c r="A848" s="41"/>
    </row>
    <row r="849" ht="12.75">
      <c r="A849" s="41"/>
    </row>
    <row r="850" ht="12.75">
      <c r="A850" s="41"/>
    </row>
    <row r="851" ht="12.75">
      <c r="A851" s="41"/>
    </row>
    <row r="852" ht="12.75">
      <c r="A852" s="41"/>
    </row>
    <row r="853" ht="12.75">
      <c r="A853" s="41"/>
    </row>
    <row r="854" ht="12.75">
      <c r="A854" s="41"/>
    </row>
    <row r="855" ht="12.75">
      <c r="A855" s="41"/>
    </row>
    <row r="856" ht="12.75">
      <c r="A856" s="41"/>
    </row>
    <row r="857" ht="12.75">
      <c r="A857" s="41"/>
    </row>
    <row r="858" ht="12.75">
      <c r="A858" s="41"/>
    </row>
    <row r="859" ht="12.75">
      <c r="A859" s="41"/>
    </row>
    <row r="860" ht="12.75">
      <c r="A860" s="41"/>
    </row>
    <row r="861" ht="12.75">
      <c r="A861" s="41"/>
    </row>
    <row r="862" ht="12.75">
      <c r="A862" s="41"/>
    </row>
    <row r="863" ht="12.75">
      <c r="A863" s="41"/>
    </row>
    <row r="864" ht="12.75">
      <c r="A864" s="41"/>
    </row>
    <row r="865" ht="12.75">
      <c r="A865" s="41"/>
    </row>
    <row r="866" ht="12.75">
      <c r="A866" s="41"/>
    </row>
    <row r="867" ht="12.75">
      <c r="A867" s="41"/>
    </row>
    <row r="868" ht="12.75">
      <c r="A868" s="41"/>
    </row>
    <row r="869" ht="12.75">
      <c r="A869" s="41"/>
    </row>
    <row r="870" ht="12.75">
      <c r="A870" s="41"/>
    </row>
    <row r="871" ht="12.75">
      <c r="A871" s="41"/>
    </row>
    <row r="872" ht="12.75">
      <c r="A872" s="41"/>
    </row>
    <row r="873" ht="12.75">
      <c r="A873" s="41"/>
    </row>
    <row r="874" ht="12.75">
      <c r="A874" s="41"/>
    </row>
    <row r="875" ht="12.75">
      <c r="A875" s="41"/>
    </row>
    <row r="876" ht="12.75">
      <c r="A876" s="41"/>
    </row>
    <row r="877" ht="12.75">
      <c r="A877" s="41"/>
    </row>
    <row r="878" ht="12.75">
      <c r="A878" s="41"/>
    </row>
    <row r="879" ht="12.75">
      <c r="A879" s="41"/>
    </row>
    <row r="880" ht="12.75">
      <c r="A880" s="41"/>
    </row>
    <row r="881" ht="12.75">
      <c r="A881" s="41"/>
    </row>
    <row r="882" ht="12.75">
      <c r="A882" s="41"/>
    </row>
    <row r="883" ht="12.75">
      <c r="A883" s="41"/>
    </row>
    <row r="884" ht="12.75">
      <c r="A884" s="41"/>
    </row>
    <row r="885" ht="12.75">
      <c r="A885" s="41"/>
    </row>
    <row r="886" ht="12.75">
      <c r="A886" s="41"/>
    </row>
    <row r="887" ht="12.75">
      <c r="A887" s="41"/>
    </row>
    <row r="888" ht="12.75">
      <c r="A888" s="41"/>
    </row>
    <row r="889" ht="12.75">
      <c r="A889" s="41"/>
    </row>
    <row r="890" ht="12.75">
      <c r="A890" s="41"/>
    </row>
    <row r="891" ht="12.75">
      <c r="A891" s="41"/>
    </row>
    <row r="892" ht="12.75">
      <c r="A892" s="41"/>
    </row>
    <row r="893" ht="12.75">
      <c r="A893" s="41"/>
    </row>
    <row r="894" ht="12.75">
      <c r="A894" s="41"/>
    </row>
    <row r="895" ht="12.75">
      <c r="A895" s="41"/>
    </row>
    <row r="896" ht="12.75">
      <c r="A896" s="41"/>
    </row>
    <row r="897" ht="12.75">
      <c r="A897" s="41"/>
    </row>
    <row r="898" ht="12.75">
      <c r="A898" s="41"/>
    </row>
    <row r="899" ht="12.75">
      <c r="A899" s="41"/>
    </row>
    <row r="900" ht="12.75">
      <c r="A900" s="41"/>
    </row>
    <row r="901" ht="12.75">
      <c r="A901" s="41"/>
    </row>
    <row r="902" ht="12.75">
      <c r="A902" s="41"/>
    </row>
    <row r="903" ht="12.75">
      <c r="A903" s="41"/>
    </row>
    <row r="904" ht="12.75">
      <c r="A904" s="41"/>
    </row>
    <row r="905" ht="12.75">
      <c r="A905" s="41"/>
    </row>
    <row r="906" ht="12.75">
      <c r="A906" s="41"/>
    </row>
    <row r="907" ht="12.75">
      <c r="A907" s="41"/>
    </row>
    <row r="908" ht="12.75">
      <c r="A908" s="41"/>
    </row>
    <row r="909" ht="12.75">
      <c r="A909" s="41"/>
    </row>
    <row r="910" ht="12.75">
      <c r="A910" s="41"/>
    </row>
    <row r="911" ht="12.75">
      <c r="A911" s="41"/>
    </row>
    <row r="912" ht="12.75">
      <c r="A912" s="41"/>
    </row>
    <row r="913" ht="12.75">
      <c r="A913" s="41"/>
    </row>
    <row r="914" ht="12.75">
      <c r="A914" s="41"/>
    </row>
    <row r="915" ht="12.75">
      <c r="A915" s="41"/>
    </row>
    <row r="916" ht="12.75">
      <c r="A916" s="41"/>
    </row>
    <row r="917" ht="12.75">
      <c r="A917" s="41"/>
    </row>
    <row r="918" ht="12.75">
      <c r="A918" s="41"/>
    </row>
    <row r="919" ht="12.75">
      <c r="A919" s="41"/>
    </row>
    <row r="920" ht="12.75">
      <c r="A920" s="41"/>
    </row>
    <row r="921" ht="12.75">
      <c r="A921" s="41"/>
    </row>
    <row r="922" ht="12.75">
      <c r="A922" s="41"/>
    </row>
    <row r="923" ht="12.75">
      <c r="A923" s="41"/>
    </row>
    <row r="924" ht="12.75">
      <c r="A924" s="41"/>
    </row>
    <row r="925" ht="12.75">
      <c r="A925" s="41"/>
    </row>
    <row r="926" ht="12.75">
      <c r="A926" s="41"/>
    </row>
    <row r="927" ht="12.75">
      <c r="A927" s="41"/>
    </row>
    <row r="928" ht="12.75">
      <c r="A928" s="41"/>
    </row>
    <row r="929" ht="12.75">
      <c r="A929" s="41"/>
    </row>
    <row r="930" ht="12.75">
      <c r="A930" s="41"/>
    </row>
    <row r="931" ht="12.75">
      <c r="A931" s="41"/>
    </row>
    <row r="932" ht="12.75">
      <c r="A932" s="41"/>
    </row>
    <row r="933" ht="12.75">
      <c r="A933" s="41"/>
    </row>
    <row r="934" ht="12.75">
      <c r="A934" s="41"/>
    </row>
    <row r="935" ht="12.75">
      <c r="A935" s="41"/>
    </row>
    <row r="936" ht="12.75">
      <c r="A936" s="41"/>
    </row>
    <row r="937" ht="12.75">
      <c r="A937" s="41"/>
    </row>
    <row r="938" ht="12.75">
      <c r="A938" s="41"/>
    </row>
    <row r="939" ht="12.75">
      <c r="A939" s="41"/>
    </row>
    <row r="940" ht="12.75">
      <c r="A940" s="41"/>
    </row>
    <row r="941" ht="12.75">
      <c r="A941" s="41"/>
    </row>
    <row r="942" ht="12.75">
      <c r="A942" s="41"/>
    </row>
    <row r="943" ht="12.75">
      <c r="A943" s="41"/>
    </row>
    <row r="944" ht="12.75">
      <c r="A944" s="41"/>
    </row>
    <row r="945" ht="12.75">
      <c r="A945" s="41"/>
    </row>
    <row r="946" ht="12.75">
      <c r="A946" s="41"/>
    </row>
    <row r="947" ht="12.75">
      <c r="A947" s="41"/>
    </row>
    <row r="948" ht="12.75">
      <c r="A948" s="41"/>
    </row>
    <row r="949" ht="12.75">
      <c r="A949" s="41"/>
    </row>
    <row r="950" ht="12.75">
      <c r="A950" s="41"/>
    </row>
    <row r="951" ht="12.75">
      <c r="A951" s="41"/>
    </row>
    <row r="952" ht="12.75">
      <c r="A952" s="41"/>
    </row>
    <row r="953" ht="12.75">
      <c r="A953" s="41"/>
    </row>
    <row r="954" ht="12.75">
      <c r="A954" s="41"/>
    </row>
    <row r="955" ht="12.75">
      <c r="A955" s="41"/>
    </row>
    <row r="956" ht="12.75">
      <c r="A956" s="41"/>
    </row>
    <row r="957" ht="12.75">
      <c r="A957" s="41"/>
    </row>
    <row r="958" ht="12.75">
      <c r="A958" s="41"/>
    </row>
    <row r="959" ht="12.75">
      <c r="A959" s="41"/>
    </row>
    <row r="960" ht="12.75">
      <c r="A960" s="41"/>
    </row>
    <row r="961" ht="12.75">
      <c r="A961" s="41"/>
    </row>
    <row r="962" ht="12.75">
      <c r="A962" s="41"/>
    </row>
    <row r="963" ht="12.75">
      <c r="A963" s="41"/>
    </row>
    <row r="964" ht="12.75">
      <c r="A964" s="41"/>
    </row>
    <row r="965" ht="12.75">
      <c r="A965" s="41"/>
    </row>
    <row r="966" ht="12.75">
      <c r="A966" s="41"/>
    </row>
    <row r="967" ht="12.75">
      <c r="A967" s="41"/>
    </row>
    <row r="968" ht="12.75">
      <c r="A968" s="41"/>
    </row>
    <row r="969" ht="12.75">
      <c r="A969" s="41"/>
    </row>
    <row r="970" ht="12.75">
      <c r="A970" s="41"/>
    </row>
    <row r="971" ht="12.75">
      <c r="A971" s="41"/>
    </row>
    <row r="972" ht="12.75">
      <c r="A972" s="41"/>
    </row>
    <row r="973" ht="12.75">
      <c r="A973" s="41"/>
    </row>
    <row r="974" ht="12.75">
      <c r="A974" s="41"/>
    </row>
    <row r="975" ht="12.75">
      <c r="A975" s="41"/>
    </row>
    <row r="976" ht="12.75">
      <c r="A976" s="41"/>
    </row>
    <row r="977" ht="12.75">
      <c r="A977" s="41"/>
    </row>
    <row r="978" ht="12.75">
      <c r="A978" s="41"/>
    </row>
    <row r="979" ht="12.75">
      <c r="A979" s="41"/>
    </row>
    <row r="980" ht="12.75">
      <c r="A980" s="41"/>
    </row>
    <row r="981" ht="12.75">
      <c r="A981" s="41"/>
    </row>
    <row r="982" ht="12.75">
      <c r="A982" s="41"/>
    </row>
    <row r="983" ht="12.75">
      <c r="A983" s="41"/>
    </row>
    <row r="984" ht="12.75">
      <c r="A984" s="41"/>
    </row>
    <row r="985" ht="12.75">
      <c r="A985" s="41"/>
    </row>
    <row r="986" ht="12.75">
      <c r="A986" s="41"/>
    </row>
    <row r="987" ht="12.75">
      <c r="A987" s="41"/>
    </row>
    <row r="988" ht="12.75">
      <c r="A988" s="41"/>
    </row>
    <row r="989" ht="12.75">
      <c r="A989" s="41"/>
    </row>
    <row r="990" ht="12.75">
      <c r="A990" s="41"/>
    </row>
    <row r="991" ht="12.75">
      <c r="A991" s="41"/>
    </row>
    <row r="992" ht="12.75">
      <c r="A992" s="41"/>
    </row>
    <row r="993" ht="12.75">
      <c r="A993" s="41"/>
    </row>
    <row r="994" ht="12.75">
      <c r="A994" s="41"/>
    </row>
    <row r="995" ht="12.75">
      <c r="A995" s="41"/>
    </row>
    <row r="996" ht="12.75">
      <c r="A996" s="41"/>
    </row>
    <row r="997" ht="12.75">
      <c r="A997" s="41"/>
    </row>
    <row r="998" ht="12.75">
      <c r="A998" s="41"/>
    </row>
    <row r="999" ht="12.75">
      <c r="A999" s="41"/>
    </row>
    <row r="1000" ht="12.75">
      <c r="A1000" s="41"/>
    </row>
    <row r="1001" ht="12.75">
      <c r="A1001" s="41"/>
    </row>
    <row r="1002" ht="12.75">
      <c r="A1002" s="41"/>
    </row>
    <row r="1003" ht="12.75">
      <c r="A1003" s="41"/>
    </row>
    <row r="1004" ht="12.75">
      <c r="A1004" s="41"/>
    </row>
    <row r="1005" ht="12.75">
      <c r="A1005" s="41"/>
    </row>
    <row r="1006" ht="12.75">
      <c r="A1006" s="41"/>
    </row>
    <row r="1007" ht="12.75">
      <c r="A1007" s="41"/>
    </row>
    <row r="1008" ht="12.75">
      <c r="A1008" s="41"/>
    </row>
    <row r="1009" ht="12.75">
      <c r="A1009" s="41"/>
    </row>
    <row r="1010" ht="12.75">
      <c r="A1010" s="41"/>
    </row>
    <row r="1011" ht="12.75">
      <c r="A1011" s="41"/>
    </row>
    <row r="1012" ht="12.75">
      <c r="A1012" s="41"/>
    </row>
    <row r="1013" ht="12.75">
      <c r="A1013" s="41"/>
    </row>
    <row r="1014" ht="12.75">
      <c r="A1014" s="41"/>
    </row>
    <row r="1015" ht="12.75">
      <c r="A1015" s="41"/>
    </row>
    <row r="1016" ht="12.75">
      <c r="A1016" s="41"/>
    </row>
    <row r="1017" ht="12.75">
      <c r="A1017" s="41"/>
    </row>
    <row r="1018" ht="12.75">
      <c r="A1018" s="41"/>
    </row>
    <row r="1019" ht="12.75">
      <c r="A1019" s="41"/>
    </row>
    <row r="1020" ht="12.75">
      <c r="A1020" s="41"/>
    </row>
    <row r="1021" ht="12.75">
      <c r="A1021" s="41"/>
    </row>
    <row r="1022" ht="12.75">
      <c r="A1022" s="41"/>
    </row>
    <row r="1023" ht="12.75">
      <c r="A1023" s="41"/>
    </row>
    <row r="1024" ht="12.75">
      <c r="A1024" s="41"/>
    </row>
    <row r="1025" ht="12.75">
      <c r="A1025" s="41"/>
    </row>
    <row r="1026" ht="12.75">
      <c r="A1026" s="41"/>
    </row>
    <row r="1027" ht="12.75">
      <c r="A1027" s="41"/>
    </row>
    <row r="1028" ht="12.75">
      <c r="A1028" s="41"/>
    </row>
    <row r="1029" ht="12.75">
      <c r="A1029" s="41"/>
    </row>
    <row r="1030" ht="12.75">
      <c r="A1030" s="41"/>
    </row>
    <row r="1031" ht="12.75">
      <c r="A1031" s="41"/>
    </row>
    <row r="1032" ht="12.75">
      <c r="A1032" s="41"/>
    </row>
    <row r="1033" ht="12.75">
      <c r="A1033" s="41"/>
    </row>
    <row r="1034" ht="12.75">
      <c r="A1034" s="41"/>
    </row>
    <row r="1035" ht="12.75">
      <c r="A1035" s="41"/>
    </row>
    <row r="1036" ht="12.75">
      <c r="A1036" s="41"/>
    </row>
    <row r="1037" ht="12.75">
      <c r="A1037" s="41"/>
    </row>
    <row r="1038" ht="12.75">
      <c r="A1038" s="41"/>
    </row>
    <row r="1039" ht="12.75">
      <c r="A1039" s="41"/>
    </row>
    <row r="1040" ht="12.75">
      <c r="A1040" s="41"/>
    </row>
    <row r="1041" ht="12.75">
      <c r="A1041" s="41"/>
    </row>
    <row r="1042" ht="12.75">
      <c r="A1042" s="41"/>
    </row>
    <row r="1043" ht="12.75">
      <c r="A1043" s="41"/>
    </row>
    <row r="1044" ht="12.75">
      <c r="A1044" s="41"/>
    </row>
    <row r="1045" ht="12.75">
      <c r="A1045" s="41"/>
    </row>
    <row r="1046" ht="12.75">
      <c r="A1046" s="41"/>
    </row>
    <row r="1047" ht="12.75">
      <c r="A1047" s="41"/>
    </row>
    <row r="1048" ht="12.75">
      <c r="A1048" s="41"/>
    </row>
    <row r="1049" ht="12.75">
      <c r="A1049" s="41"/>
    </row>
    <row r="1050" ht="12.75">
      <c r="A1050" s="41"/>
    </row>
    <row r="1051" ht="12.75">
      <c r="A1051" s="41"/>
    </row>
    <row r="1052" ht="12.75">
      <c r="A1052" s="41"/>
    </row>
    <row r="1053" ht="12.75">
      <c r="A1053" s="41"/>
    </row>
    <row r="1054" ht="12.75">
      <c r="A1054" s="41"/>
    </row>
    <row r="1055" ht="12.75">
      <c r="A1055" s="41"/>
    </row>
    <row r="1056" ht="12.75">
      <c r="A1056" s="41"/>
    </row>
    <row r="1057" ht="12.75">
      <c r="A1057" s="41"/>
    </row>
    <row r="1058" ht="12.75">
      <c r="A1058" s="41"/>
    </row>
    <row r="1059" ht="12.75">
      <c r="A1059" s="41"/>
    </row>
    <row r="1060" ht="12.75">
      <c r="A1060" s="41"/>
    </row>
    <row r="1061" ht="12.75">
      <c r="A1061" s="41"/>
    </row>
    <row r="1062" ht="12.75">
      <c r="A1062" s="41"/>
    </row>
    <row r="1063" ht="12.75">
      <c r="A1063" s="41"/>
    </row>
    <row r="1064" ht="12.75">
      <c r="A1064" s="41"/>
    </row>
    <row r="1065" ht="12.75">
      <c r="A1065" s="41"/>
    </row>
  </sheetData>
  <mergeCells count="21">
    <mergeCell ref="A30:A37"/>
    <mergeCell ref="A14:A21"/>
    <mergeCell ref="A22:A29"/>
    <mergeCell ref="E7:F7"/>
    <mergeCell ref="D7:D12"/>
    <mergeCell ref="C7:C12"/>
    <mergeCell ref="B7:B12"/>
    <mergeCell ref="H9:P9"/>
    <mergeCell ref="G8:P8"/>
    <mergeCell ref="G7:P7"/>
    <mergeCell ref="G9:G12"/>
    <mergeCell ref="N2:P2"/>
    <mergeCell ref="A7:A12"/>
    <mergeCell ref="E8:E12"/>
    <mergeCell ref="F8:F12"/>
    <mergeCell ref="M11:P11"/>
    <mergeCell ref="L11:L12"/>
    <mergeCell ref="L10:P10"/>
    <mergeCell ref="I11:K11"/>
    <mergeCell ref="H11:H12"/>
    <mergeCell ref="H10:K10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halina</cp:lastModifiedBy>
  <cp:lastPrinted>2006-01-02T10:04:37Z</cp:lastPrinted>
  <dcterms:created xsi:type="dcterms:W3CDTF">2002-03-22T09:59:04Z</dcterms:created>
  <dcterms:modified xsi:type="dcterms:W3CDTF">2005-12-31T13:54:07Z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